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5 - 0036.109115.2022-75 - 4º Ajuste\"/>
    </mc:Choice>
  </mc:AlternateContent>
  <bookViews>
    <workbookView xWindow="0" yWindow="0" windowWidth="28800" windowHeight="11730" tabRatio="869" firstSheet="4" activeTab="1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1" r:id="rId13"/>
    <sheet name="Equipamentos" sheetId="59" r:id="rId14"/>
  </sheets>
  <definedNames>
    <definedName name="_xlnm.Print_Area" localSheetId="7">'Enfermeiro - Diurno'!$A$1:$F$112</definedName>
    <definedName name="_xlnm.Print_Area" localSheetId="8">'Enfermeiro - Noturno'!$A$1:$F$113</definedName>
    <definedName name="_xlnm.Print_Area" localSheetId="13">Equipamentos!$A$1:$H$38</definedName>
    <definedName name="_xlnm.Print_Area" localSheetId="12">Materiais!$A$1:$H$30</definedName>
    <definedName name="_xlnm.Print_Area" localSheetId="9">'Médico - Diurno '!$A$1:$F$122</definedName>
    <definedName name="_xlnm.Print_Area" localSheetId="10">'Médico - Noturno'!$A$1:$F$122</definedName>
    <definedName name="_xlnm.Print_Area" localSheetId="3">'Motorista - Diurno'!$A$1:$J$112</definedName>
    <definedName name="_xlnm.Print_Area" localSheetId="4">'Motorista - Noturno'!$A$1:$I$113</definedName>
    <definedName name="_xlnm.Print_Area" localSheetId="2">Planilha!$A$1:$H$54</definedName>
    <definedName name="_xlnm.Print_Area" localSheetId="5">'Técnico de Enfermagem - Diurno'!$A$1:$G$113</definedName>
    <definedName name="_xlnm.Print_Area" localSheetId="6">'Técnico de Enfermagem - Noturno'!$A$1:$F$113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91" l="1"/>
  <c r="H22" i="91"/>
  <c r="H24" i="91"/>
  <c r="H21" i="91"/>
  <c r="H20" i="91"/>
  <c r="H19" i="91"/>
  <c r="H18" i="91"/>
  <c r="H8" i="91"/>
  <c r="H16" i="91"/>
  <c r="H15" i="91"/>
  <c r="H14" i="91"/>
  <c r="H12" i="91"/>
  <c r="G15" i="91"/>
  <c r="G14" i="91"/>
  <c r="G12" i="91"/>
  <c r="F12" i="91"/>
  <c r="E15" i="91"/>
  <c r="E14" i="91"/>
  <c r="E12" i="91"/>
  <c r="H7" i="91"/>
  <c r="H6" i="91"/>
  <c r="H4" i="91"/>
  <c r="G7" i="91"/>
  <c r="G6" i="91"/>
  <c r="G4" i="91"/>
  <c r="F4" i="91"/>
  <c r="E7" i="91"/>
  <c r="E6" i="91"/>
  <c r="E4" i="91"/>
  <c r="C13" i="86" l="1"/>
  <c r="C13" i="85"/>
  <c r="I18" i="67" l="1"/>
  <c r="F18" i="67"/>
  <c r="J18" i="11"/>
  <c r="G18" i="11"/>
  <c r="F18" i="11"/>
  <c r="F86" i="86" l="1"/>
  <c r="F84" i="86"/>
  <c r="F86" i="85"/>
  <c r="F84" i="85"/>
  <c r="F87" i="84"/>
  <c r="F85" i="84"/>
  <c r="F86" i="83"/>
  <c r="F84" i="83"/>
  <c r="E84" i="83"/>
  <c r="F69" i="83"/>
  <c r="F87" i="89"/>
  <c r="F85" i="89"/>
  <c r="F70" i="89" s="1"/>
  <c r="G87" i="88"/>
  <c r="G85" i="88"/>
  <c r="G68" i="88" s="1"/>
  <c r="F85" i="88"/>
  <c r="I85" i="67"/>
  <c r="H85" i="67"/>
  <c r="I87" i="67"/>
  <c r="H87" i="67"/>
  <c r="G87" i="67"/>
  <c r="G85" i="67"/>
  <c r="J86" i="11"/>
  <c r="I86" i="11"/>
  <c r="J84" i="11"/>
  <c r="I84" i="11"/>
  <c r="H84" i="11"/>
  <c r="H24" i="59"/>
  <c r="H23" i="59"/>
  <c r="H16" i="59"/>
  <c r="F74" i="86"/>
  <c r="F48" i="86"/>
  <c r="F18" i="86"/>
  <c r="F20" i="86"/>
  <c r="F74" i="85"/>
  <c r="D48" i="85"/>
  <c r="E48" i="85"/>
  <c r="F48" i="85"/>
  <c r="F18" i="85"/>
  <c r="F20" i="85"/>
  <c r="F69" i="84"/>
  <c r="F80" i="84"/>
  <c r="F75" i="84"/>
  <c r="F61" i="84"/>
  <c r="F60" i="84"/>
  <c r="F59" i="84"/>
  <c r="F58" i="84"/>
  <c r="F57" i="84"/>
  <c r="F49" i="84"/>
  <c r="F40" i="84"/>
  <c r="F39" i="84"/>
  <c r="F38" i="84"/>
  <c r="F37" i="84"/>
  <c r="F36" i="84"/>
  <c r="F35" i="84"/>
  <c r="F34" i="84"/>
  <c r="F33" i="84"/>
  <c r="F29" i="84"/>
  <c r="F28" i="84"/>
  <c r="F18" i="84"/>
  <c r="F20" i="84"/>
  <c r="F79" i="83"/>
  <c r="F74" i="83"/>
  <c r="F66" i="83"/>
  <c r="F65" i="83"/>
  <c r="F64" i="83"/>
  <c r="F61" i="83"/>
  <c r="F60" i="83"/>
  <c r="F59" i="83"/>
  <c r="F58" i="83"/>
  <c r="F57" i="83"/>
  <c r="F56" i="83"/>
  <c r="F41" i="83"/>
  <c r="F40" i="83"/>
  <c r="F39" i="83"/>
  <c r="F38" i="83"/>
  <c r="F37" i="83"/>
  <c r="F36" i="83"/>
  <c r="F35" i="83"/>
  <c r="F34" i="83"/>
  <c r="F33" i="83"/>
  <c r="F29" i="83"/>
  <c r="F28" i="83"/>
  <c r="F18" i="83"/>
  <c r="F46" i="83" s="1"/>
  <c r="F48" i="83" s="1"/>
  <c r="F52" i="83" s="1"/>
  <c r="F44" i="83"/>
  <c r="F20" i="83"/>
  <c r="F80" i="89"/>
  <c r="F75" i="89"/>
  <c r="F74" i="89"/>
  <c r="F67" i="89"/>
  <c r="F61" i="89"/>
  <c r="F60" i="89"/>
  <c r="F59" i="89"/>
  <c r="F58" i="89"/>
  <c r="F57" i="89"/>
  <c r="F40" i="89"/>
  <c r="F39" i="89"/>
  <c r="F38" i="89"/>
  <c r="F37" i="89"/>
  <c r="F36" i="89"/>
  <c r="F35" i="89"/>
  <c r="F34" i="89"/>
  <c r="F33" i="89"/>
  <c r="F29" i="89"/>
  <c r="F28" i="89"/>
  <c r="F18" i="89"/>
  <c r="F21" i="89" s="1"/>
  <c r="F20" i="89"/>
  <c r="G80" i="88"/>
  <c r="G75" i="88"/>
  <c r="G74" i="88"/>
  <c r="G61" i="88"/>
  <c r="G60" i="88"/>
  <c r="G59" i="88"/>
  <c r="G58" i="88"/>
  <c r="G57" i="88"/>
  <c r="G40" i="88"/>
  <c r="G39" i="88"/>
  <c r="G38" i="88"/>
  <c r="G37" i="88"/>
  <c r="G36" i="88"/>
  <c r="G35" i="88"/>
  <c r="G34" i="88"/>
  <c r="G33" i="88"/>
  <c r="G29" i="88"/>
  <c r="G28" i="88"/>
  <c r="G18" i="88"/>
  <c r="G47" i="88" s="1"/>
  <c r="G49" i="88" s="1"/>
  <c r="G53" i="88" s="1"/>
  <c r="G20" i="88"/>
  <c r="I45" i="67"/>
  <c r="H45" i="67"/>
  <c r="I21" i="67"/>
  <c r="I25" i="67" s="1"/>
  <c r="I60" i="67" s="1"/>
  <c r="H18" i="67"/>
  <c r="H47" i="67" s="1"/>
  <c r="I20" i="67"/>
  <c r="H20" i="67"/>
  <c r="J73" i="11"/>
  <c r="I74" i="11"/>
  <c r="I73" i="11"/>
  <c r="I60" i="11"/>
  <c r="I59" i="11"/>
  <c r="I58" i="11"/>
  <c r="J57" i="11"/>
  <c r="I57" i="11"/>
  <c r="I56" i="11"/>
  <c r="J46" i="11"/>
  <c r="I46" i="11"/>
  <c r="J44" i="11"/>
  <c r="I44" i="11"/>
  <c r="I40" i="11"/>
  <c r="I39" i="11"/>
  <c r="I38" i="11"/>
  <c r="I37" i="11"/>
  <c r="I36" i="11"/>
  <c r="I35" i="11"/>
  <c r="I34" i="11"/>
  <c r="I33" i="11"/>
  <c r="I29" i="11"/>
  <c r="I28" i="11"/>
  <c r="J25" i="11"/>
  <c r="J28" i="11" s="1"/>
  <c r="I18" i="11"/>
  <c r="I25" i="11" s="1"/>
  <c r="J74" i="11"/>
  <c r="J20" i="11"/>
  <c r="I20" i="11"/>
  <c r="I47" i="67" l="1"/>
  <c r="I49" i="67" s="1"/>
  <c r="I53" i="67" s="1"/>
  <c r="I61" i="67"/>
  <c r="I28" i="67"/>
  <c r="I29" i="67"/>
  <c r="I57" i="67"/>
  <c r="I58" i="67"/>
  <c r="I59" i="67"/>
  <c r="J58" i="11"/>
  <c r="J59" i="11"/>
  <c r="J60" i="11"/>
  <c r="J29" i="11"/>
  <c r="J30" i="11" s="1"/>
  <c r="J56" i="11"/>
  <c r="F67" i="83"/>
  <c r="F68" i="83"/>
  <c r="F65" i="89"/>
  <c r="F66" i="89"/>
  <c r="F68" i="89"/>
  <c r="F69" i="89"/>
  <c r="G65" i="88"/>
  <c r="G66" i="88"/>
  <c r="G67" i="88"/>
  <c r="G69" i="88"/>
  <c r="G71" i="88" s="1"/>
  <c r="G79" i="88" s="1"/>
  <c r="G81" i="88" s="1"/>
  <c r="G82" i="88" s="1"/>
  <c r="G70" i="88"/>
  <c r="F52" i="86"/>
  <c r="F21" i="86"/>
  <c r="F25" i="86" s="1"/>
  <c r="F52" i="85"/>
  <c r="F25" i="85"/>
  <c r="F67" i="84"/>
  <c r="F65" i="84"/>
  <c r="F66" i="84"/>
  <c r="F68" i="84"/>
  <c r="F70" i="84"/>
  <c r="F53" i="84"/>
  <c r="F21" i="84"/>
  <c r="F25" i="84" s="1"/>
  <c r="F25" i="83"/>
  <c r="F47" i="89"/>
  <c r="F49" i="89" s="1"/>
  <c r="F53" i="89" s="1"/>
  <c r="F25" i="89"/>
  <c r="G25" i="88"/>
  <c r="I106" i="67"/>
  <c r="H49" i="67"/>
  <c r="H53" i="67" s="1"/>
  <c r="H21" i="67"/>
  <c r="H25" i="67" s="1"/>
  <c r="J48" i="11"/>
  <c r="J52" i="11" s="1"/>
  <c r="J105" i="11"/>
  <c r="I105" i="11"/>
  <c r="I48" i="11"/>
  <c r="I52" i="11" s="1"/>
  <c r="F60" i="86" l="1"/>
  <c r="F59" i="86"/>
  <c r="F58" i="86"/>
  <c r="F29" i="86"/>
  <c r="F57" i="86"/>
  <c r="F28" i="86"/>
  <c r="F56" i="86"/>
  <c r="F61" i="86" s="1"/>
  <c r="F29" i="85"/>
  <c r="F56" i="85"/>
  <c r="F28" i="85"/>
  <c r="F59" i="85"/>
  <c r="F58" i="85"/>
  <c r="F57" i="85"/>
  <c r="F60" i="85"/>
  <c r="H61" i="67"/>
  <c r="H60" i="67"/>
  <c r="H59" i="67"/>
  <c r="H29" i="67"/>
  <c r="H58" i="67"/>
  <c r="H57" i="67"/>
  <c r="H28" i="67"/>
  <c r="J39" i="11"/>
  <c r="J33" i="11"/>
  <c r="J40" i="11"/>
  <c r="J34" i="11"/>
  <c r="J35" i="11"/>
  <c r="J37" i="11"/>
  <c r="J36" i="11"/>
  <c r="J38" i="11"/>
  <c r="F70" i="83"/>
  <c r="F78" i="83" s="1"/>
  <c r="F80" i="83" s="1"/>
  <c r="F81" i="83" s="1"/>
  <c r="F71" i="89"/>
  <c r="F79" i="89" s="1"/>
  <c r="F81" i="89" s="1"/>
  <c r="F82" i="89" s="1"/>
  <c r="F105" i="86"/>
  <c r="F105" i="85"/>
  <c r="F71" i="84"/>
  <c r="F79" i="84" s="1"/>
  <c r="F81" i="84" s="1"/>
  <c r="F82" i="84" s="1"/>
  <c r="F106" i="84"/>
  <c r="F30" i="84"/>
  <c r="F105" i="83"/>
  <c r="F106" i="89"/>
  <c r="G30" i="88"/>
  <c r="G106" i="88"/>
  <c r="I30" i="67"/>
  <c r="I62" i="67"/>
  <c r="I108" i="67" s="1"/>
  <c r="H30" i="67"/>
  <c r="H36" i="67" s="1"/>
  <c r="H106" i="67"/>
  <c r="J50" i="11"/>
  <c r="J61" i="11"/>
  <c r="J107" i="11" s="1"/>
  <c r="I61" i="11"/>
  <c r="I107" i="11" s="1"/>
  <c r="I30" i="11"/>
  <c r="G45" i="67"/>
  <c r="F45" i="67"/>
  <c r="E45" i="67"/>
  <c r="D45" i="67"/>
  <c r="H46" i="11"/>
  <c r="G46" i="11"/>
  <c r="F46" i="11"/>
  <c r="E46" i="11"/>
  <c r="D46" i="11"/>
  <c r="H44" i="11"/>
  <c r="G44" i="11"/>
  <c r="F44" i="11"/>
  <c r="E44" i="11"/>
  <c r="D44" i="11"/>
  <c r="F61" i="85" l="1"/>
  <c r="F107" i="85" s="1"/>
  <c r="H40" i="67"/>
  <c r="H38" i="67"/>
  <c r="H39" i="67"/>
  <c r="H33" i="67"/>
  <c r="H34" i="67"/>
  <c r="H35" i="67"/>
  <c r="H37" i="67"/>
  <c r="I33" i="67"/>
  <c r="I40" i="67"/>
  <c r="I38" i="67"/>
  <c r="I35" i="67"/>
  <c r="I36" i="67"/>
  <c r="I34" i="67"/>
  <c r="I39" i="67"/>
  <c r="I37" i="67"/>
  <c r="F30" i="86"/>
  <c r="F107" i="86"/>
  <c r="F30" i="85"/>
  <c r="F62" i="84"/>
  <c r="F108" i="84" s="1"/>
  <c r="F51" i="84"/>
  <c r="F107" i="83"/>
  <c r="F30" i="83"/>
  <c r="F62" i="89"/>
  <c r="F108" i="89" s="1"/>
  <c r="F30" i="89"/>
  <c r="G62" i="88"/>
  <c r="G108" i="88" s="1"/>
  <c r="G51" i="88"/>
  <c r="I51" i="67"/>
  <c r="H51" i="67"/>
  <c r="H62" i="67"/>
  <c r="H108" i="67" s="1"/>
  <c r="J41" i="11"/>
  <c r="J51" i="11" s="1"/>
  <c r="J53" i="11" s="1"/>
  <c r="I50" i="11"/>
  <c r="H7" i="82"/>
  <c r="F38" i="86" l="1"/>
  <c r="F34" i="86"/>
  <c r="F33" i="86"/>
  <c r="F36" i="86"/>
  <c r="F40" i="86"/>
  <c r="F37" i="86"/>
  <c r="F39" i="86"/>
  <c r="F35" i="86"/>
  <c r="F50" i="85"/>
  <c r="F40" i="85"/>
  <c r="F36" i="85"/>
  <c r="F39" i="85"/>
  <c r="F33" i="85"/>
  <c r="F34" i="85"/>
  <c r="F38" i="85"/>
  <c r="F37" i="85"/>
  <c r="F35" i="85"/>
  <c r="J69" i="11"/>
  <c r="J64" i="11"/>
  <c r="J65" i="11"/>
  <c r="J66" i="11"/>
  <c r="J67" i="11"/>
  <c r="J68" i="11"/>
  <c r="F50" i="86"/>
  <c r="F41" i="84"/>
  <c r="F52" i="84" s="1"/>
  <c r="F54" i="84" s="1"/>
  <c r="F50" i="83"/>
  <c r="F51" i="89"/>
  <c r="G41" i="88"/>
  <c r="G52" i="88" s="1"/>
  <c r="G54" i="88" s="1"/>
  <c r="I41" i="67"/>
  <c r="I52" i="67" s="1"/>
  <c r="I54" i="67" s="1"/>
  <c r="H41" i="67"/>
  <c r="H52" i="67" s="1"/>
  <c r="H54" i="67" s="1"/>
  <c r="J106" i="11"/>
  <c r="I41" i="11"/>
  <c r="I51" i="11" s="1"/>
  <c r="I53" i="11" s="1"/>
  <c r="I69" i="11" l="1"/>
  <c r="I66" i="11"/>
  <c r="I67" i="11"/>
  <c r="I68" i="11"/>
  <c r="I65" i="11"/>
  <c r="I64" i="11"/>
  <c r="H67" i="67"/>
  <c r="H66" i="67"/>
  <c r="H74" i="67"/>
  <c r="H75" i="67" s="1"/>
  <c r="H65" i="67"/>
  <c r="H68" i="67"/>
  <c r="H70" i="67"/>
  <c r="H69" i="67"/>
  <c r="I69" i="67"/>
  <c r="I66" i="67"/>
  <c r="I65" i="67"/>
  <c r="I67" i="67"/>
  <c r="I68" i="67"/>
  <c r="I70" i="67"/>
  <c r="I74" i="67"/>
  <c r="I75" i="67" s="1"/>
  <c r="F41" i="86"/>
  <c r="F51" i="86" s="1"/>
  <c r="F53" i="86" s="1"/>
  <c r="F41" i="85"/>
  <c r="F51" i="85" s="1"/>
  <c r="F53" i="85" s="1"/>
  <c r="F107" i="84"/>
  <c r="F51" i="83"/>
  <c r="F53" i="83" s="1"/>
  <c r="F41" i="89"/>
  <c r="F52" i="89" s="1"/>
  <c r="F54" i="89" s="1"/>
  <c r="G107" i="88"/>
  <c r="I107" i="67"/>
  <c r="H107" i="67"/>
  <c r="J70" i="11"/>
  <c r="J78" i="11" s="1"/>
  <c r="I106" i="11"/>
  <c r="G4" i="82"/>
  <c r="F68" i="86" l="1"/>
  <c r="F67" i="86"/>
  <c r="F65" i="86"/>
  <c r="F64" i="86"/>
  <c r="F66" i="86"/>
  <c r="F69" i="86"/>
  <c r="F79" i="86"/>
  <c r="F68" i="85"/>
  <c r="F67" i="85"/>
  <c r="F64" i="85"/>
  <c r="F65" i="85"/>
  <c r="F79" i="85"/>
  <c r="F66" i="85"/>
  <c r="F69" i="85"/>
  <c r="F106" i="86"/>
  <c r="F106" i="85"/>
  <c r="F106" i="83"/>
  <c r="F107" i="89"/>
  <c r="I71" i="67"/>
  <c r="H71" i="67"/>
  <c r="H79" i="67" s="1"/>
  <c r="E5" i="82"/>
  <c r="E4" i="82"/>
  <c r="E3" i="82"/>
  <c r="G3" i="82"/>
  <c r="H3" i="82" s="1"/>
  <c r="F70" i="86" l="1"/>
  <c r="F78" i="86" s="1"/>
  <c r="F80" i="86" s="1"/>
  <c r="F81" i="86" s="1"/>
  <c r="F70" i="85"/>
  <c r="F78" i="85" s="1"/>
  <c r="F80" i="85" s="1"/>
  <c r="F81" i="85" s="1"/>
  <c r="I79" i="67"/>
  <c r="G109" i="88"/>
  <c r="F12" i="59"/>
  <c r="F14" i="59"/>
  <c r="F108" i="83" l="1"/>
  <c r="F109" i="89"/>
  <c r="G6" i="82"/>
  <c r="H6" i="82" s="1"/>
  <c r="G5" i="82"/>
  <c r="H5" i="82" s="1"/>
  <c r="H4" i="82"/>
  <c r="E6" i="82"/>
  <c r="E33" i="83" l="1"/>
  <c r="D33" i="83"/>
  <c r="E41" i="83"/>
  <c r="D41" i="83"/>
  <c r="E30" i="83"/>
  <c r="D30" i="83"/>
  <c r="D74" i="86" l="1"/>
  <c r="D18" i="86"/>
  <c r="D20" i="86"/>
  <c r="D74" i="85"/>
  <c r="D20" i="85"/>
  <c r="E20" i="85"/>
  <c r="D18" i="85"/>
  <c r="D25" i="85" s="1"/>
  <c r="D28" i="85" l="1"/>
  <c r="D57" i="85"/>
  <c r="D56" i="85"/>
  <c r="D59" i="85"/>
  <c r="D105" i="85"/>
  <c r="D58" i="85"/>
  <c r="D29" i="85"/>
  <c r="D60" i="85"/>
  <c r="D48" i="86"/>
  <c r="D52" i="86" s="1"/>
  <c r="D21" i="86"/>
  <c r="D25" i="86" s="1"/>
  <c r="D52" i="85"/>
  <c r="D56" i="86" l="1"/>
  <c r="D29" i="86"/>
  <c r="D28" i="86"/>
  <c r="D30" i="86" s="1"/>
  <c r="D50" i="86" s="1"/>
  <c r="D38" i="86"/>
  <c r="D37" i="86"/>
  <c r="D36" i="86"/>
  <c r="D58" i="86"/>
  <c r="D33" i="86"/>
  <c r="D105" i="86"/>
  <c r="D60" i="86"/>
  <c r="D35" i="86"/>
  <c r="D57" i="86"/>
  <c r="D34" i="86"/>
  <c r="D59" i="86"/>
  <c r="D30" i="85"/>
  <c r="D50" i="85" s="1"/>
  <c r="D61" i="85"/>
  <c r="D107" i="85" s="1"/>
  <c r="D39" i="86" l="1"/>
  <c r="D40" i="86"/>
  <c r="D41" i="86" s="1"/>
  <c r="D51" i="86" s="1"/>
  <c r="D53" i="86" s="1"/>
  <c r="D61" i="86"/>
  <c r="D107" i="86" s="1"/>
  <c r="D34" i="85"/>
  <c r="D39" i="85"/>
  <c r="D36" i="85"/>
  <c r="D35" i="85"/>
  <c r="D33" i="85"/>
  <c r="D38" i="85"/>
  <c r="D37" i="85"/>
  <c r="D40" i="85"/>
  <c r="C64" i="11"/>
  <c r="D106" i="86" l="1"/>
  <c r="D79" i="86"/>
  <c r="D41" i="85"/>
  <c r="D51" i="85" s="1"/>
  <c r="D53" i="85" s="1"/>
  <c r="D79" i="85" s="1"/>
  <c r="F4" i="59"/>
  <c r="F6" i="59"/>
  <c r="G8" i="59"/>
  <c r="H8" i="59" s="1"/>
  <c r="D106" i="85" l="1"/>
  <c r="G12" i="59"/>
  <c r="H12" i="59" s="1"/>
  <c r="G16" i="59"/>
  <c r="G14" i="59"/>
  <c r="H14" i="59" s="1"/>
  <c r="G4" i="59"/>
  <c r="G6" i="59"/>
  <c r="H6" i="59" s="1"/>
  <c r="H22" i="59" l="1"/>
  <c r="H19" i="59"/>
  <c r="H18" i="59"/>
  <c r="H21" i="59"/>
  <c r="H20" i="59"/>
  <c r="E25" i="83"/>
  <c r="D25" i="83"/>
  <c r="D25" i="84"/>
  <c r="E25" i="84"/>
  <c r="E20" i="86"/>
  <c r="E20" i="84"/>
  <c r="D20" i="84"/>
  <c r="E20" i="83"/>
  <c r="D20" i="83"/>
  <c r="E20" i="89"/>
  <c r="D20" i="89"/>
  <c r="E20" i="88"/>
  <c r="D20" i="88"/>
  <c r="F20" i="88"/>
  <c r="G20" i="67"/>
  <c r="E20" i="67"/>
  <c r="D20" i="67"/>
  <c r="F20" i="67"/>
  <c r="G20" i="11"/>
  <c r="E20" i="11"/>
  <c r="D20" i="11"/>
  <c r="F20" i="11"/>
  <c r="H20" i="11"/>
  <c r="E21" i="84"/>
  <c r="D21" i="84"/>
  <c r="F47" i="88"/>
  <c r="F18" i="88"/>
  <c r="F25" i="88" s="1"/>
  <c r="D18" i="89"/>
  <c r="D47" i="89" s="1"/>
  <c r="H73" i="11"/>
  <c r="H74" i="11" s="1"/>
  <c r="H18" i="11"/>
  <c r="D18" i="11"/>
  <c r="D73" i="11"/>
  <c r="D74" i="11"/>
  <c r="D18" i="88"/>
  <c r="D47" i="88" s="1"/>
  <c r="F85" i="11" l="1"/>
  <c r="F86" i="67"/>
  <c r="F85" i="86"/>
  <c r="F88" i="86" s="1"/>
  <c r="I86" i="67"/>
  <c r="I89" i="67" s="1"/>
  <c r="I110" i="67" s="1"/>
  <c r="F85" i="85"/>
  <c r="F88" i="85" s="1"/>
  <c r="J85" i="11"/>
  <c r="J88" i="11" s="1"/>
  <c r="J109" i="11" s="1"/>
  <c r="F86" i="84"/>
  <c r="F89" i="84" s="1"/>
  <c r="F110" i="84" s="1"/>
  <c r="F85" i="83"/>
  <c r="F88" i="83" s="1"/>
  <c r="G85" i="11"/>
  <c r="G86" i="67"/>
  <c r="D87" i="88"/>
  <c r="D87" i="67"/>
  <c r="D86" i="11"/>
  <c r="D87" i="89"/>
  <c r="E87" i="88"/>
  <c r="E86" i="11"/>
  <c r="E87" i="67"/>
  <c r="E87" i="89"/>
  <c r="H86" i="11"/>
  <c r="F87" i="88"/>
  <c r="F87" i="67"/>
  <c r="F86" i="11"/>
  <c r="D86" i="86"/>
  <c r="D86" i="85"/>
  <c r="D86" i="83"/>
  <c r="D87" i="84"/>
  <c r="E86" i="85"/>
  <c r="E87" i="84"/>
  <c r="G86" i="11"/>
  <c r="E86" i="83"/>
  <c r="E86" i="86"/>
  <c r="H85" i="11"/>
  <c r="E86" i="67"/>
  <c r="D86" i="67"/>
  <c r="D25" i="88"/>
  <c r="D25" i="11"/>
  <c r="D48" i="11"/>
  <c r="D52" i="11" s="1"/>
  <c r="H25" i="11"/>
  <c r="H105" i="11" s="1"/>
  <c r="H48" i="11"/>
  <c r="H52" i="11" s="1"/>
  <c r="D85" i="86"/>
  <c r="D85" i="83"/>
  <c r="D85" i="85"/>
  <c r="D86" i="84"/>
  <c r="E85" i="86"/>
  <c r="E85" i="83"/>
  <c r="E85" i="85"/>
  <c r="E86" i="84"/>
  <c r="D49" i="89"/>
  <c r="D53" i="89" s="1"/>
  <c r="F106" i="88"/>
  <c r="F61" i="88"/>
  <c r="F60" i="88"/>
  <c r="F59" i="88"/>
  <c r="F58" i="88"/>
  <c r="F57" i="88"/>
  <c r="F29" i="88"/>
  <c r="D106" i="88"/>
  <c r="D61" i="88"/>
  <c r="D60" i="88"/>
  <c r="D59" i="88"/>
  <c r="D58" i="88"/>
  <c r="D57" i="88"/>
  <c r="D62" i="88" s="1"/>
  <c r="D108" i="88" s="1"/>
  <c r="D29" i="88"/>
  <c r="D21" i="89"/>
  <c r="D25" i="89" s="1"/>
  <c r="D74" i="83"/>
  <c r="D46" i="83"/>
  <c r="D44" i="83"/>
  <c r="D48" i="83" s="1"/>
  <c r="D52" i="83" s="1"/>
  <c r="D18" i="83"/>
  <c r="D18" i="84"/>
  <c r="F109" i="83" l="1"/>
  <c r="F110" i="83" s="1"/>
  <c r="F89" i="83"/>
  <c r="F109" i="86"/>
  <c r="F89" i="86"/>
  <c r="I85" i="11"/>
  <c r="I88" i="11" s="1"/>
  <c r="I109" i="11" s="1"/>
  <c r="F86" i="89"/>
  <c r="F89" i="89" s="1"/>
  <c r="H86" i="67"/>
  <c r="H89" i="67" s="1"/>
  <c r="H110" i="67" s="1"/>
  <c r="G86" i="88"/>
  <c r="G89" i="88" s="1"/>
  <c r="F109" i="85"/>
  <c r="F89" i="85"/>
  <c r="F92" i="85" s="1"/>
  <c r="F93" i="85" s="1"/>
  <c r="F94" i="85" s="1"/>
  <c r="F95" i="85" s="1"/>
  <c r="E85" i="11"/>
  <c r="D85" i="11"/>
  <c r="F62" i="88"/>
  <c r="F108" i="88" s="1"/>
  <c r="H57" i="11"/>
  <c r="H56" i="11"/>
  <c r="H58" i="11"/>
  <c r="H59" i="11"/>
  <c r="H60" i="11"/>
  <c r="H29" i="11"/>
  <c r="D29" i="11"/>
  <c r="D56" i="11"/>
  <c r="D57" i="11"/>
  <c r="D58" i="11"/>
  <c r="D60" i="11"/>
  <c r="D59" i="11"/>
  <c r="D105" i="11"/>
  <c r="D86" i="88"/>
  <c r="D86" i="89"/>
  <c r="F86" i="88"/>
  <c r="E86" i="89"/>
  <c r="E86" i="88"/>
  <c r="D49" i="84"/>
  <c r="D53" i="84" s="1"/>
  <c r="F49" i="88"/>
  <c r="F53" i="88" s="1"/>
  <c r="D49" i="88"/>
  <c r="D53" i="88" s="1"/>
  <c r="D105" i="83"/>
  <c r="D60" i="83"/>
  <c r="D59" i="83"/>
  <c r="D58" i="83"/>
  <c r="D57" i="83"/>
  <c r="D56" i="83"/>
  <c r="D61" i="83" s="1"/>
  <c r="D107" i="83" s="1"/>
  <c r="D29" i="83"/>
  <c r="D28" i="83"/>
  <c r="D106" i="89"/>
  <c r="D61" i="89"/>
  <c r="D60" i="89"/>
  <c r="D59" i="89"/>
  <c r="D58" i="89"/>
  <c r="D57" i="89"/>
  <c r="D62" i="89" s="1"/>
  <c r="D108" i="89" s="1"/>
  <c r="D29" i="89"/>
  <c r="G110" i="88" l="1"/>
  <c r="G111" i="88" s="1"/>
  <c r="G90" i="88"/>
  <c r="F92" i="86"/>
  <c r="F93" i="86" s="1"/>
  <c r="F94" i="86" s="1"/>
  <c r="F95" i="86" s="1"/>
  <c r="F92" i="83"/>
  <c r="F93" i="83" s="1"/>
  <c r="F94" i="83" s="1"/>
  <c r="F95" i="83" s="1"/>
  <c r="F98" i="85"/>
  <c r="F101" i="85"/>
  <c r="F97" i="85"/>
  <c r="F110" i="89"/>
  <c r="F111" i="89" s="1"/>
  <c r="F90" i="89"/>
  <c r="H61" i="11"/>
  <c r="H107" i="11" s="1"/>
  <c r="D61" i="11"/>
  <c r="D107" i="11" s="1"/>
  <c r="D106" i="84"/>
  <c r="D61" i="84"/>
  <c r="D60" i="84"/>
  <c r="D59" i="84"/>
  <c r="D58" i="84"/>
  <c r="D57" i="84"/>
  <c r="D62" i="84" s="1"/>
  <c r="D108" i="84" s="1"/>
  <c r="D29" i="84"/>
  <c r="D28" i="84"/>
  <c r="D30" i="84" s="1"/>
  <c r="D50" i="83"/>
  <c r="D40" i="83"/>
  <c r="D39" i="83"/>
  <c r="D38" i="83"/>
  <c r="D37" i="83"/>
  <c r="D36" i="83"/>
  <c r="D35" i="83"/>
  <c r="D34" i="83"/>
  <c r="F47" i="67"/>
  <c r="F101" i="86" l="1"/>
  <c r="F97" i="86"/>
  <c r="F98" i="86"/>
  <c r="F93" i="89"/>
  <c r="F94" i="89" s="1"/>
  <c r="G93" i="88"/>
  <c r="G94" i="88" s="1"/>
  <c r="F98" i="83"/>
  <c r="F97" i="83"/>
  <c r="F101" i="83"/>
  <c r="F21" i="67"/>
  <c r="F25" i="67" s="1"/>
  <c r="D51" i="83"/>
  <c r="D51" i="84"/>
  <c r="D53" i="83"/>
  <c r="F73" i="11"/>
  <c r="F74" i="11" s="1"/>
  <c r="F102" i="86" l="1"/>
  <c r="F103" i="86" s="1"/>
  <c r="G95" i="88"/>
  <c r="G96" i="88" s="1"/>
  <c r="F102" i="83"/>
  <c r="F103" i="83" s="1"/>
  <c r="F111" i="83" s="1"/>
  <c r="F112" i="83" s="1"/>
  <c r="C50" i="87" s="1"/>
  <c r="F50" i="87" s="1"/>
  <c r="G50" i="87" s="1"/>
  <c r="H50" i="87" s="1"/>
  <c r="F95" i="89"/>
  <c r="F96" i="89" s="1"/>
  <c r="F25" i="11"/>
  <c r="F48" i="11"/>
  <c r="F52" i="11" s="1"/>
  <c r="D106" i="83"/>
  <c r="D79" i="83"/>
  <c r="F106" i="67"/>
  <c r="F61" i="67"/>
  <c r="F60" i="67"/>
  <c r="F59" i="67"/>
  <c r="F58" i="67"/>
  <c r="F57" i="67"/>
  <c r="F29" i="67"/>
  <c r="D18" i="67"/>
  <c r="D47" i="67" s="1"/>
  <c r="C103" i="89"/>
  <c r="C95" i="89" s="1"/>
  <c r="C75" i="89"/>
  <c r="C71" i="89"/>
  <c r="C79" i="89" s="1"/>
  <c r="C81" i="89" s="1"/>
  <c r="C41" i="89"/>
  <c r="C28" i="89"/>
  <c r="E18" i="89"/>
  <c r="C103" i="88"/>
  <c r="C95" i="88" s="1"/>
  <c r="C75" i="88"/>
  <c r="C71" i="88"/>
  <c r="C79" i="88" s="1"/>
  <c r="C81" i="88" s="1"/>
  <c r="C41" i="88"/>
  <c r="C28" i="88"/>
  <c r="F28" i="88" s="1"/>
  <c r="F30" i="88" s="1"/>
  <c r="F51" i="88" s="1"/>
  <c r="E18" i="88"/>
  <c r="E25" i="88" s="1"/>
  <c r="F99" i="89" l="1"/>
  <c r="F98" i="89"/>
  <c r="F102" i="89"/>
  <c r="G99" i="88"/>
  <c r="G98" i="88"/>
  <c r="G102" i="88"/>
  <c r="F62" i="67"/>
  <c r="F108" i="67" s="1"/>
  <c r="F29" i="11"/>
  <c r="C30" i="89"/>
  <c r="D28" i="89"/>
  <c r="D30" i="89" s="1"/>
  <c r="D51" i="89" s="1"/>
  <c r="D49" i="67"/>
  <c r="D53" i="67" s="1"/>
  <c r="C30" i="88"/>
  <c r="D28" i="88"/>
  <c r="D30" i="88" s="1"/>
  <c r="D51" i="88" s="1"/>
  <c r="F105" i="11"/>
  <c r="F60" i="11"/>
  <c r="F59" i="11"/>
  <c r="F58" i="11"/>
  <c r="F57" i="11"/>
  <c r="F56" i="11"/>
  <c r="D21" i="67"/>
  <c r="D25" i="67" s="1"/>
  <c r="E47" i="89"/>
  <c r="E49" i="89" s="1"/>
  <c r="E53" i="89" s="1"/>
  <c r="E21" i="89"/>
  <c r="E25" i="89" s="1"/>
  <c r="E47" i="88"/>
  <c r="E49" i="88"/>
  <c r="E53" i="88" s="1"/>
  <c r="F103" i="89" l="1"/>
  <c r="F104" i="89" s="1"/>
  <c r="F112" i="89" s="1"/>
  <c r="F113" i="89" s="1"/>
  <c r="C46" i="87" s="1"/>
  <c r="F46" i="87" s="1"/>
  <c r="G46" i="87" s="1"/>
  <c r="H46" i="87" s="1"/>
  <c r="G103" i="88"/>
  <c r="G104" i="88" s="1"/>
  <c r="G112" i="88" s="1"/>
  <c r="G113" i="88" s="1"/>
  <c r="C45" i="87" s="1"/>
  <c r="F45" i="87" s="1"/>
  <c r="G45" i="87" s="1"/>
  <c r="H45" i="87" s="1"/>
  <c r="F61" i="11"/>
  <c r="F107" i="11" s="1"/>
  <c r="D40" i="89"/>
  <c r="D39" i="89"/>
  <c r="D38" i="89"/>
  <c r="D37" i="89"/>
  <c r="D36" i="89"/>
  <c r="D35" i="89"/>
  <c r="D34" i="89"/>
  <c r="D33" i="89"/>
  <c r="F40" i="88"/>
  <c r="F39" i="88"/>
  <c r="F38" i="88"/>
  <c r="F37" i="88"/>
  <c r="F36" i="88"/>
  <c r="F35" i="88"/>
  <c r="F34" i="88"/>
  <c r="F33" i="88"/>
  <c r="D40" i="88"/>
  <c r="D39" i="88"/>
  <c r="D38" i="88"/>
  <c r="D37" i="88"/>
  <c r="D36" i="88"/>
  <c r="D33" i="88"/>
  <c r="D35" i="88"/>
  <c r="D34" i="88"/>
  <c r="D106" i="67"/>
  <c r="D61" i="67"/>
  <c r="D60" i="67"/>
  <c r="D59" i="67"/>
  <c r="D58" i="67"/>
  <c r="D57" i="67"/>
  <c r="D29" i="67"/>
  <c r="E106" i="89"/>
  <c r="E61" i="89"/>
  <c r="E60" i="89"/>
  <c r="E59" i="89"/>
  <c r="E58" i="89"/>
  <c r="E57" i="89"/>
  <c r="E29" i="89"/>
  <c r="E28" i="89"/>
  <c r="E106" i="88"/>
  <c r="E61" i="88"/>
  <c r="E60" i="88"/>
  <c r="E59" i="88"/>
  <c r="E58" i="88"/>
  <c r="E57" i="88"/>
  <c r="E62" i="88" s="1"/>
  <c r="E108" i="88" s="1"/>
  <c r="E29" i="88"/>
  <c r="E28" i="88"/>
  <c r="E30" i="88" s="1"/>
  <c r="F41" i="88" l="1"/>
  <c r="F52" i="88" s="1"/>
  <c r="F54" i="88" s="1"/>
  <c r="D62" i="67"/>
  <c r="D108" i="67" s="1"/>
  <c r="D41" i="89"/>
  <c r="D52" i="89" s="1"/>
  <c r="D54" i="89" s="1"/>
  <c r="D80" i="89" s="1"/>
  <c r="E30" i="89"/>
  <c r="E37" i="89" s="1"/>
  <c r="E62" i="89"/>
  <c r="E108" i="89" s="1"/>
  <c r="F107" i="88"/>
  <c r="F80" i="88"/>
  <c r="F74" i="88"/>
  <c r="F75" i="88" s="1"/>
  <c r="D41" i="88"/>
  <c r="D52" i="88" s="1"/>
  <c r="D54" i="88" s="1"/>
  <c r="E51" i="88"/>
  <c r="E40" i="88"/>
  <c r="E39" i="88"/>
  <c r="E38" i="88"/>
  <c r="E37" i="88"/>
  <c r="E36" i="88"/>
  <c r="E35" i="88"/>
  <c r="E34" i="88"/>
  <c r="E33" i="88"/>
  <c r="E41" i="88" l="1"/>
  <c r="E52" i="88" s="1"/>
  <c r="E38" i="89"/>
  <c r="E41" i="89" s="1"/>
  <c r="E52" i="89" s="1"/>
  <c r="E54" i="89" s="1"/>
  <c r="E39" i="89"/>
  <c r="E40" i="89"/>
  <c r="E34" i="89"/>
  <c r="E35" i="89"/>
  <c r="E36" i="89"/>
  <c r="D107" i="89"/>
  <c r="E51" i="89"/>
  <c r="E33" i="89"/>
  <c r="D74" i="89"/>
  <c r="D75" i="89" s="1"/>
  <c r="D107" i="88"/>
  <c r="D80" i="88"/>
  <c r="D74" i="88"/>
  <c r="D75" i="88" s="1"/>
  <c r="E54" i="88"/>
  <c r="E107" i="89" l="1"/>
  <c r="E80" i="89"/>
  <c r="E74" i="89"/>
  <c r="E75" i="89" s="1"/>
  <c r="E107" i="88"/>
  <c r="E80" i="88"/>
  <c r="E74" i="88"/>
  <c r="E75" i="88" s="1"/>
  <c r="E74" i="83" l="1"/>
  <c r="E18" i="67"/>
  <c r="E47" i="67" s="1"/>
  <c r="E73" i="11"/>
  <c r="E74" i="11"/>
  <c r="E18" i="11"/>
  <c r="E25" i="11" l="1"/>
  <c r="E48" i="11"/>
  <c r="E52" i="11" s="1"/>
  <c r="E49" i="67"/>
  <c r="E53" i="67" s="1"/>
  <c r="E105" i="11"/>
  <c r="E60" i="11"/>
  <c r="E59" i="11"/>
  <c r="E58" i="11"/>
  <c r="E57" i="11"/>
  <c r="E56" i="11"/>
  <c r="E21" i="67"/>
  <c r="E25" i="67" s="1"/>
  <c r="C102" i="86"/>
  <c r="C94" i="86"/>
  <c r="E74" i="86"/>
  <c r="C70" i="86"/>
  <c r="C78" i="86" s="1"/>
  <c r="C80" i="86" s="1"/>
  <c r="C41" i="86"/>
  <c r="C28" i="86"/>
  <c r="C30" i="86" s="1"/>
  <c r="E18" i="86"/>
  <c r="C102" i="85"/>
  <c r="C94" i="85"/>
  <c r="E74" i="85"/>
  <c r="C70" i="85"/>
  <c r="C78" i="85" s="1"/>
  <c r="C80" i="85" s="1"/>
  <c r="C41" i="85"/>
  <c r="C28" i="85"/>
  <c r="C30" i="85" s="1"/>
  <c r="E18" i="85"/>
  <c r="E25" i="85" s="1"/>
  <c r="C103" i="84"/>
  <c r="C95" i="84"/>
  <c r="C81" i="84"/>
  <c r="C75" i="84"/>
  <c r="C71" i="84"/>
  <c r="C41" i="84"/>
  <c r="C28" i="84"/>
  <c r="C30" i="84" s="1"/>
  <c r="E18" i="84"/>
  <c r="C102" i="83"/>
  <c r="C94" i="83"/>
  <c r="C70" i="83"/>
  <c r="C78" i="83" s="1"/>
  <c r="C80" i="83" s="1"/>
  <c r="E44" i="83"/>
  <c r="C41" i="83"/>
  <c r="C28" i="83"/>
  <c r="E18" i="83"/>
  <c r="E29" i="11" l="1"/>
  <c r="E61" i="11"/>
  <c r="E107" i="11" s="1"/>
  <c r="E106" i="67"/>
  <c r="E61" i="67"/>
  <c r="E60" i="67"/>
  <c r="E59" i="67"/>
  <c r="E58" i="67"/>
  <c r="E57" i="67"/>
  <c r="E62" i="67" s="1"/>
  <c r="E108" i="67" s="1"/>
  <c r="E29" i="67"/>
  <c r="C30" i="83"/>
  <c r="E48" i="86"/>
  <c r="E52" i="86" s="1"/>
  <c r="E21" i="86"/>
  <c r="E25" i="86" s="1"/>
  <c r="E52" i="85"/>
  <c r="E49" i="84"/>
  <c r="E53" i="84" s="1"/>
  <c r="E46" i="83"/>
  <c r="E48" i="83"/>
  <c r="E52" i="83" s="1"/>
  <c r="D40" i="84" l="1"/>
  <c r="D39" i="84"/>
  <c r="D38" i="84"/>
  <c r="D37" i="84"/>
  <c r="D36" i="84"/>
  <c r="D35" i="84"/>
  <c r="D34" i="84"/>
  <c r="D33" i="84"/>
  <c r="D41" i="84" s="1"/>
  <c r="D52" i="84" s="1"/>
  <c r="D54" i="84" s="1"/>
  <c r="E105" i="86"/>
  <c r="E60" i="86"/>
  <c r="E59" i="86"/>
  <c r="E58" i="86"/>
  <c r="E57" i="86"/>
  <c r="E56" i="86"/>
  <c r="E29" i="86"/>
  <c r="E28" i="86"/>
  <c r="E105" i="85"/>
  <c r="E60" i="85"/>
  <c r="E59" i="85"/>
  <c r="E58" i="85"/>
  <c r="E57" i="85"/>
  <c r="E56" i="85"/>
  <c r="E29" i="85"/>
  <c r="E28" i="85"/>
  <c r="E106" i="84"/>
  <c r="E61" i="84"/>
  <c r="E60" i="84"/>
  <c r="E59" i="84"/>
  <c r="E58" i="84"/>
  <c r="E57" i="84"/>
  <c r="E62" i="84" s="1"/>
  <c r="E108" i="84" s="1"/>
  <c r="E29" i="84"/>
  <c r="E28" i="84"/>
  <c r="E30" i="84" s="1"/>
  <c r="E105" i="83"/>
  <c r="E60" i="83"/>
  <c r="E59" i="83"/>
  <c r="E58" i="83"/>
  <c r="E57" i="83"/>
  <c r="E56" i="83"/>
  <c r="E61" i="83" s="1"/>
  <c r="E107" i="83" s="1"/>
  <c r="E29" i="83"/>
  <c r="E28" i="83"/>
  <c r="E30" i="86" l="1"/>
  <c r="E50" i="86" s="1"/>
  <c r="E61" i="86"/>
  <c r="E107" i="86" s="1"/>
  <c r="E61" i="85"/>
  <c r="E107" i="85" s="1"/>
  <c r="E30" i="85"/>
  <c r="E50" i="85" s="1"/>
  <c r="D107" i="84"/>
  <c r="D80" i="84"/>
  <c r="D74" i="84"/>
  <c r="E51" i="84"/>
  <c r="E40" i="84"/>
  <c r="E39" i="84"/>
  <c r="E38" i="84"/>
  <c r="E37" i="84"/>
  <c r="E36" i="84"/>
  <c r="E35" i="84"/>
  <c r="E34" i="84"/>
  <c r="E33" i="84"/>
  <c r="E41" i="84" s="1"/>
  <c r="E52" i="84" s="1"/>
  <c r="E50" i="83"/>
  <c r="E40" i="83"/>
  <c r="E39" i="83"/>
  <c r="E38" i="83"/>
  <c r="E37" i="83"/>
  <c r="E36" i="83"/>
  <c r="E35" i="83"/>
  <c r="E34" i="83"/>
  <c r="E36" i="86" l="1"/>
  <c r="E37" i="86"/>
  <c r="E39" i="86"/>
  <c r="E33" i="86"/>
  <c r="E35" i="86"/>
  <c r="E38" i="86"/>
  <c r="E40" i="86"/>
  <c r="E34" i="86"/>
  <c r="E33" i="85"/>
  <c r="E34" i="85"/>
  <c r="E35" i="85"/>
  <c r="E36" i="85"/>
  <c r="E37" i="85"/>
  <c r="E38" i="85"/>
  <c r="E39" i="85"/>
  <c r="E40" i="85"/>
  <c r="D75" i="84"/>
  <c r="F74" i="84"/>
  <c r="E51" i="83"/>
  <c r="E53" i="83" s="1"/>
  <c r="E54" i="84"/>
  <c r="E41" i="86" l="1"/>
  <c r="E51" i="86" s="1"/>
  <c r="E53" i="86" s="1"/>
  <c r="E106" i="86" s="1"/>
  <c r="E41" i="85"/>
  <c r="E51" i="85" s="1"/>
  <c r="E53" i="85" s="1"/>
  <c r="E106" i="85"/>
  <c r="E79" i="85"/>
  <c r="E107" i="84"/>
  <c r="E80" i="84"/>
  <c r="E74" i="84"/>
  <c r="E75" i="84" s="1"/>
  <c r="E106" i="83"/>
  <c r="E79" i="83"/>
  <c r="E79" i="86" l="1"/>
  <c r="G73" i="11"/>
  <c r="G74" i="11" s="1"/>
  <c r="H4" i="59"/>
  <c r="G25" i="11" l="1"/>
  <c r="G48" i="11"/>
  <c r="G52" i="11" s="1"/>
  <c r="G18" i="67"/>
  <c r="G47" i="67" s="1"/>
  <c r="G49" i="67"/>
  <c r="G53" i="67" s="1"/>
  <c r="G29" i="11" l="1"/>
  <c r="G56" i="11"/>
  <c r="G57" i="11"/>
  <c r="G58" i="11"/>
  <c r="G59" i="11"/>
  <c r="G60" i="11"/>
  <c r="G105" i="11"/>
  <c r="G21" i="67"/>
  <c r="G25" i="67" s="1"/>
  <c r="A4" i="82"/>
  <c r="A5" i="82" s="1"/>
  <c r="G61" i="11" l="1"/>
  <c r="G107" i="11" s="1"/>
  <c r="E84" i="86"/>
  <c r="C75" i="67"/>
  <c r="D84" i="85" l="1"/>
  <c r="E84" i="85"/>
  <c r="E69" i="85" s="1"/>
  <c r="D84" i="86"/>
  <c r="E64" i="86"/>
  <c r="E65" i="86"/>
  <c r="E67" i="86"/>
  <c r="E66" i="86"/>
  <c r="E68" i="86"/>
  <c r="E85" i="84"/>
  <c r="E68" i="84" s="1"/>
  <c r="D85" i="84"/>
  <c r="D68" i="84" s="1"/>
  <c r="E67" i="83"/>
  <c r="D84" i="83"/>
  <c r="D66" i="83" s="1"/>
  <c r="E85" i="89"/>
  <c r="D85" i="89"/>
  <c r="E85" i="88"/>
  <c r="E70" i="88" s="1"/>
  <c r="D85" i="88"/>
  <c r="D89" i="88" s="1"/>
  <c r="E85" i="67"/>
  <c r="E89" i="67" s="1"/>
  <c r="E110" i="67" s="1"/>
  <c r="D85" i="67"/>
  <c r="D89" i="67" s="1"/>
  <c r="D110" i="67" s="1"/>
  <c r="F85" i="67"/>
  <c r="F89" i="67" s="1"/>
  <c r="F110" i="67" s="1"/>
  <c r="G84" i="11"/>
  <c r="G88" i="11" s="1"/>
  <c r="E84" i="11"/>
  <c r="E88" i="11" s="1"/>
  <c r="D84" i="11"/>
  <c r="D88" i="11" s="1"/>
  <c r="F84" i="11"/>
  <c r="F88" i="11" s="1"/>
  <c r="E69" i="86"/>
  <c r="E88" i="86"/>
  <c r="C70" i="11"/>
  <c r="C78" i="11" s="1"/>
  <c r="D67" i="88" l="1"/>
  <c r="E88" i="85"/>
  <c r="E65" i="85"/>
  <c r="E64" i="85"/>
  <c r="E66" i="85"/>
  <c r="E67" i="85"/>
  <c r="E68" i="85"/>
  <c r="E65" i="88"/>
  <c r="E89" i="88"/>
  <c r="E110" i="88" s="1"/>
  <c r="D65" i="88"/>
  <c r="D66" i="88"/>
  <c r="D68" i="88"/>
  <c r="D69" i="88"/>
  <c r="D70" i="88"/>
  <c r="E67" i="88"/>
  <c r="D69" i="84"/>
  <c r="E69" i="84"/>
  <c r="H88" i="11"/>
  <c r="E66" i="88"/>
  <c r="E68" i="88"/>
  <c r="D70" i="84"/>
  <c r="E70" i="84"/>
  <c r="D88" i="86"/>
  <c r="D109" i="86" s="1"/>
  <c r="D64" i="86"/>
  <c r="D69" i="86"/>
  <c r="D66" i="86"/>
  <c r="D68" i="86"/>
  <c r="D65" i="86"/>
  <c r="D67" i="86"/>
  <c r="E69" i="88"/>
  <c r="D89" i="84"/>
  <c r="D110" i="84" s="1"/>
  <c r="D88" i="85"/>
  <c r="D109" i="85" s="1"/>
  <c r="D69" i="85"/>
  <c r="D64" i="85"/>
  <c r="D68" i="85"/>
  <c r="D65" i="85"/>
  <c r="D66" i="85"/>
  <c r="D67" i="85"/>
  <c r="E89" i="84"/>
  <c r="E110" i="84" s="1"/>
  <c r="E65" i="84"/>
  <c r="E66" i="84"/>
  <c r="E67" i="84"/>
  <c r="D64" i="83"/>
  <c r="D68" i="83"/>
  <c r="E68" i="83"/>
  <c r="D67" i="83"/>
  <c r="E69" i="83"/>
  <c r="D69" i="83"/>
  <c r="D88" i="83"/>
  <c r="D109" i="83" s="1"/>
  <c r="D66" i="84"/>
  <c r="E65" i="83"/>
  <c r="D65" i="83"/>
  <c r="D65" i="84"/>
  <c r="E64" i="83"/>
  <c r="D67" i="84"/>
  <c r="E66" i="83"/>
  <c r="E88" i="83"/>
  <c r="E109" i="83" s="1"/>
  <c r="E70" i="86"/>
  <c r="E78" i="86" s="1"/>
  <c r="E80" i="86" s="1"/>
  <c r="E81" i="86" s="1"/>
  <c r="E108" i="86" s="1"/>
  <c r="D109" i="11"/>
  <c r="G109" i="11"/>
  <c r="F109" i="11"/>
  <c r="E109" i="11"/>
  <c r="D89" i="89"/>
  <c r="D65" i="89"/>
  <c r="D70" i="89"/>
  <c r="D69" i="89"/>
  <c r="D68" i="89"/>
  <c r="D67" i="89"/>
  <c r="D66" i="89"/>
  <c r="E89" i="89"/>
  <c r="E70" i="89"/>
  <c r="E69" i="89"/>
  <c r="E68" i="89"/>
  <c r="E67" i="89"/>
  <c r="E66" i="89"/>
  <c r="E65" i="89"/>
  <c r="F89" i="88"/>
  <c r="F70" i="88"/>
  <c r="F69" i="88"/>
  <c r="F68" i="88"/>
  <c r="F67" i="88"/>
  <c r="F66" i="88"/>
  <c r="F65" i="88"/>
  <c r="D110" i="88"/>
  <c r="E109" i="86"/>
  <c r="E109" i="85"/>
  <c r="C71" i="67"/>
  <c r="C79" i="67" s="1"/>
  <c r="F108" i="86" l="1"/>
  <c r="F110" i="86" s="1"/>
  <c r="E70" i="85"/>
  <c r="E78" i="85" s="1"/>
  <c r="E80" i="85" s="1"/>
  <c r="E81" i="85" s="1"/>
  <c r="E108" i="85" s="1"/>
  <c r="E110" i="85" s="1"/>
  <c r="D71" i="88"/>
  <c r="D79" i="88" s="1"/>
  <c r="D81" i="88" s="1"/>
  <c r="D82" i="88" s="1"/>
  <c r="D109" i="88" s="1"/>
  <c r="E71" i="84"/>
  <c r="E79" i="84" s="1"/>
  <c r="E81" i="84" s="1"/>
  <c r="E82" i="84" s="1"/>
  <c r="E109" i="84" s="1"/>
  <c r="E111" i="84" s="1"/>
  <c r="E71" i="88"/>
  <c r="E79" i="88" s="1"/>
  <c r="E81" i="88" s="1"/>
  <c r="E82" i="88" s="1"/>
  <c r="E109" i="88" s="1"/>
  <c r="E111" i="88" s="1"/>
  <c r="D70" i="86"/>
  <c r="D78" i="86" s="1"/>
  <c r="D80" i="86" s="1"/>
  <c r="D81" i="86" s="1"/>
  <c r="D70" i="85"/>
  <c r="D78" i="85" s="1"/>
  <c r="D80" i="85" s="1"/>
  <c r="D81" i="85" s="1"/>
  <c r="E70" i="83"/>
  <c r="E78" i="83" s="1"/>
  <c r="E80" i="83" s="1"/>
  <c r="E81" i="83" s="1"/>
  <c r="E108" i="83" s="1"/>
  <c r="E110" i="83" s="1"/>
  <c r="D71" i="84"/>
  <c r="D79" i="84" s="1"/>
  <c r="D81" i="84" s="1"/>
  <c r="D82" i="84" s="1"/>
  <c r="D109" i="84" s="1"/>
  <c r="D111" i="84" s="1"/>
  <c r="D70" i="83"/>
  <c r="D78" i="83" s="1"/>
  <c r="D80" i="83" s="1"/>
  <c r="D81" i="83" s="1"/>
  <c r="D108" i="83" s="1"/>
  <c r="D110" i="83" s="1"/>
  <c r="E110" i="86"/>
  <c r="E89" i="86"/>
  <c r="E92" i="86" s="1"/>
  <c r="E93" i="86" s="1"/>
  <c r="E94" i="86" s="1"/>
  <c r="E95" i="86" s="1"/>
  <c r="E71" i="89"/>
  <c r="E79" i="89" s="1"/>
  <c r="E81" i="89" s="1"/>
  <c r="E82" i="89" s="1"/>
  <c r="E109" i="89" s="1"/>
  <c r="F71" i="88"/>
  <c r="F79" i="88" s="1"/>
  <c r="F81" i="88" s="1"/>
  <c r="F82" i="88" s="1"/>
  <c r="F109" i="88" s="1"/>
  <c r="D111" i="88"/>
  <c r="E90" i="88"/>
  <c r="E93" i="88" s="1"/>
  <c r="E94" i="88" s="1"/>
  <c r="E95" i="88" s="1"/>
  <c r="E96" i="88" s="1"/>
  <c r="D90" i="88"/>
  <c r="D93" i="88" s="1"/>
  <c r="F110" i="88"/>
  <c r="E110" i="89"/>
  <c r="D71" i="89"/>
  <c r="D79" i="89" s="1"/>
  <c r="D81" i="89" s="1"/>
  <c r="D82" i="89" s="1"/>
  <c r="D109" i="89" s="1"/>
  <c r="D110" i="89"/>
  <c r="H109" i="11"/>
  <c r="C103" i="67"/>
  <c r="C95" i="67" s="1"/>
  <c r="C41" i="67"/>
  <c r="C81" i="67" s="1"/>
  <c r="C28" i="67"/>
  <c r="F28" i="67" s="1"/>
  <c r="F30" i="67" s="1"/>
  <c r="F51" i="67" s="1"/>
  <c r="E89" i="85" l="1"/>
  <c r="E92" i="85" s="1"/>
  <c r="F108" i="85"/>
  <c r="F110" i="85" s="1"/>
  <c r="F109" i="84"/>
  <c r="F111" i="84" s="1"/>
  <c r="F90" i="84"/>
  <c r="E90" i="84"/>
  <c r="E93" i="84" s="1"/>
  <c r="E94" i="84" s="1"/>
  <c r="E95" i="84" s="1"/>
  <c r="E96" i="84" s="1"/>
  <c r="E98" i="84" s="1"/>
  <c r="E89" i="83"/>
  <c r="E92" i="83" s="1"/>
  <c r="E93" i="83" s="1"/>
  <c r="E94" i="83" s="1"/>
  <c r="E95" i="83" s="1"/>
  <c r="E101" i="83" s="1"/>
  <c r="D89" i="85"/>
  <c r="D108" i="85"/>
  <c r="D110" i="85" s="1"/>
  <c r="D89" i="86"/>
  <c r="D108" i="86"/>
  <c r="D110" i="86" s="1"/>
  <c r="D89" i="83"/>
  <c r="D92" i="83" s="1"/>
  <c r="D93" i="83" s="1"/>
  <c r="D90" i="84"/>
  <c r="D93" i="84" s="1"/>
  <c r="D94" i="84" s="1"/>
  <c r="E90" i="89"/>
  <c r="E93" i="89" s="1"/>
  <c r="E94" i="89" s="1"/>
  <c r="E111" i="89"/>
  <c r="F90" i="88"/>
  <c r="F93" i="88" s="1"/>
  <c r="F94" i="88" s="1"/>
  <c r="F95" i="88" s="1"/>
  <c r="F96" i="88" s="1"/>
  <c r="F111" i="88"/>
  <c r="D90" i="89"/>
  <c r="D93" i="89" s="1"/>
  <c r="D94" i="89" s="1"/>
  <c r="D95" i="89" s="1"/>
  <c r="D96" i="89" s="1"/>
  <c r="D94" i="88"/>
  <c r="D95" i="88" s="1"/>
  <c r="D96" i="88" s="1"/>
  <c r="D99" i="88" s="1"/>
  <c r="D111" i="89"/>
  <c r="E102" i="88"/>
  <c r="E99" i="88"/>
  <c r="E98" i="88"/>
  <c r="E101" i="86"/>
  <c r="E98" i="86"/>
  <c r="E97" i="86"/>
  <c r="E28" i="67"/>
  <c r="E30" i="67" s="1"/>
  <c r="E51" i="67" s="1"/>
  <c r="D28" i="67"/>
  <c r="D30" i="67" s="1"/>
  <c r="D51" i="67" s="1"/>
  <c r="C30" i="67"/>
  <c r="E93" i="85" l="1"/>
  <c r="E94" i="85" s="1"/>
  <c r="E95" i="85" s="1"/>
  <c r="E97" i="85" s="1"/>
  <c r="F93" i="84"/>
  <c r="F94" i="84" s="1"/>
  <c r="F95" i="84" s="1"/>
  <c r="F96" i="84" s="1"/>
  <c r="D95" i="84"/>
  <c r="D96" i="84" s="1"/>
  <c r="D99" i="84" s="1"/>
  <c r="E102" i="84"/>
  <c r="E99" i="84"/>
  <c r="E97" i="83"/>
  <c r="E98" i="83"/>
  <c r="D94" i="83"/>
  <c r="D95" i="83" s="1"/>
  <c r="D101" i="83" s="1"/>
  <c r="D92" i="86"/>
  <c r="D92" i="85"/>
  <c r="D93" i="85" s="1"/>
  <c r="E102" i="86"/>
  <c r="E103" i="86" s="1"/>
  <c r="E111" i="86" s="1"/>
  <c r="E112" i="86" s="1"/>
  <c r="D102" i="88"/>
  <c r="E103" i="88"/>
  <c r="E104" i="88" s="1"/>
  <c r="E112" i="88" s="1"/>
  <c r="E113" i="88" s="1"/>
  <c r="C33" i="87" s="1"/>
  <c r="D98" i="88"/>
  <c r="E95" i="89"/>
  <c r="E96" i="89" s="1"/>
  <c r="E102" i="89" s="1"/>
  <c r="F102" i="88"/>
  <c r="F99" i="88"/>
  <c r="F98" i="88"/>
  <c r="D102" i="89"/>
  <c r="D99" i="89"/>
  <c r="D98" i="89"/>
  <c r="F40" i="67"/>
  <c r="F39" i="67"/>
  <c r="F38" i="67"/>
  <c r="F37" i="67"/>
  <c r="F36" i="67"/>
  <c r="F35" i="67"/>
  <c r="F34" i="67"/>
  <c r="F33" i="67"/>
  <c r="D40" i="67"/>
  <c r="D39" i="67"/>
  <c r="D38" i="67"/>
  <c r="D37" i="67"/>
  <c r="D36" i="67"/>
  <c r="D35" i="67"/>
  <c r="D34" i="67"/>
  <c r="D33" i="67"/>
  <c r="E40" i="67"/>
  <c r="E39" i="67"/>
  <c r="E38" i="67"/>
  <c r="E37" i="67"/>
  <c r="E36" i="67"/>
  <c r="E35" i="67"/>
  <c r="E34" i="67"/>
  <c r="E33" i="67"/>
  <c r="G28" i="67"/>
  <c r="G29" i="67"/>
  <c r="G57" i="67"/>
  <c r="G58" i="67"/>
  <c r="G59" i="67"/>
  <c r="G60" i="67"/>
  <c r="G61" i="67"/>
  <c r="G106" i="67"/>
  <c r="G89" i="67"/>
  <c r="G110" i="67" s="1"/>
  <c r="E98" i="85" l="1"/>
  <c r="E101" i="85"/>
  <c r="E102" i="83"/>
  <c r="E103" i="83" s="1"/>
  <c r="E111" i="83" s="1"/>
  <c r="E112" i="83" s="1"/>
  <c r="C38" i="87" s="1"/>
  <c r="F38" i="87" s="1"/>
  <c r="G38" i="87" s="1"/>
  <c r="H38" i="87" s="1"/>
  <c r="F102" i="84"/>
  <c r="F99" i="84"/>
  <c r="F98" i="84"/>
  <c r="D102" i="84"/>
  <c r="D98" i="83"/>
  <c r="D98" i="84"/>
  <c r="D93" i="86"/>
  <c r="D94" i="86" s="1"/>
  <c r="D95" i="86" s="1"/>
  <c r="D101" i="86" s="1"/>
  <c r="D94" i="85"/>
  <c r="D95" i="85" s="1"/>
  <c r="D98" i="85" s="1"/>
  <c r="E103" i="84"/>
  <c r="E104" i="84" s="1"/>
  <c r="E112" i="84" s="1"/>
  <c r="E113" i="84" s="1"/>
  <c r="C39" i="87" s="1"/>
  <c r="F39" i="87" s="1"/>
  <c r="G39" i="87" s="1"/>
  <c r="H39" i="87" s="1"/>
  <c r="D97" i="83"/>
  <c r="C41" i="87"/>
  <c r="F41" i="87" s="1"/>
  <c r="G41" i="87" s="1"/>
  <c r="H41" i="87" s="1"/>
  <c r="D103" i="88"/>
  <c r="D104" i="88" s="1"/>
  <c r="D112" i="88" s="1"/>
  <c r="D113" i="88" s="1"/>
  <c r="F33" i="87"/>
  <c r="G33" i="87" s="1"/>
  <c r="H33" i="87" s="1"/>
  <c r="F41" i="67"/>
  <c r="F52" i="67" s="1"/>
  <c r="D41" i="67"/>
  <c r="D52" i="67" s="1"/>
  <c r="D54" i="67" s="1"/>
  <c r="D80" i="67" s="1"/>
  <c r="H80" i="67" s="1"/>
  <c r="H81" i="67" s="1"/>
  <c r="H82" i="67" s="1"/>
  <c r="E41" i="67"/>
  <c r="E52" i="67" s="1"/>
  <c r="E54" i="67" s="1"/>
  <c r="E68" i="67" s="1"/>
  <c r="E98" i="89"/>
  <c r="E99" i="89"/>
  <c r="F103" i="88"/>
  <c r="F104" i="88" s="1"/>
  <c r="F112" i="88" s="1"/>
  <c r="F113" i="88" s="1"/>
  <c r="C17" i="87" s="1"/>
  <c r="D103" i="89"/>
  <c r="D104" i="89" s="1"/>
  <c r="D112" i="89" s="1"/>
  <c r="D113" i="89" s="1"/>
  <c r="G62" i="67"/>
  <c r="G108" i="67" s="1"/>
  <c r="G30" i="67"/>
  <c r="D103" i="84" l="1"/>
  <c r="D104" i="84" s="1"/>
  <c r="D112" i="84" s="1"/>
  <c r="D113" i="84" s="1"/>
  <c r="C22" i="87" s="1"/>
  <c r="F22" i="87" s="1"/>
  <c r="G22" i="87" s="1"/>
  <c r="H22" i="87" s="1"/>
  <c r="D102" i="83"/>
  <c r="D103" i="83" s="1"/>
  <c r="D111" i="83" s="1"/>
  <c r="D112" i="83" s="1"/>
  <c r="C21" i="87" s="1"/>
  <c r="F21" i="87" s="1"/>
  <c r="G21" i="87" s="1"/>
  <c r="H21" i="87" s="1"/>
  <c r="E102" i="85"/>
  <c r="E103" i="85" s="1"/>
  <c r="E111" i="85" s="1"/>
  <c r="E112" i="85" s="1"/>
  <c r="C40" i="87" s="1"/>
  <c r="F40" i="87" s="1"/>
  <c r="G40" i="87" s="1"/>
  <c r="H40" i="87" s="1"/>
  <c r="D70" i="67"/>
  <c r="H109" i="67"/>
  <c r="H111" i="67" s="1"/>
  <c r="H90" i="67"/>
  <c r="F103" i="84"/>
  <c r="F104" i="84" s="1"/>
  <c r="F112" i="84" s="1"/>
  <c r="F113" i="84" s="1"/>
  <c r="D97" i="85"/>
  <c r="D101" i="85"/>
  <c r="D98" i="86"/>
  <c r="D97" i="86"/>
  <c r="D66" i="67"/>
  <c r="E74" i="67"/>
  <c r="E75" i="67" s="1"/>
  <c r="E69" i="67"/>
  <c r="E70" i="67"/>
  <c r="D65" i="67"/>
  <c r="D67" i="67"/>
  <c r="D68" i="67"/>
  <c r="E80" i="67"/>
  <c r="I80" i="67" s="1"/>
  <c r="I81" i="67" s="1"/>
  <c r="I82" i="67" s="1"/>
  <c r="E107" i="67"/>
  <c r="C28" i="87"/>
  <c r="F28" i="87" s="1"/>
  <c r="G28" i="87" s="1"/>
  <c r="H28" i="87" s="1"/>
  <c r="C29" i="87"/>
  <c r="F29" i="87" s="1"/>
  <c r="G29" i="87" s="1"/>
  <c r="H29" i="87" s="1"/>
  <c r="F17" i="87"/>
  <c r="D69" i="67"/>
  <c r="D74" i="67"/>
  <c r="D75" i="67" s="1"/>
  <c r="D107" i="67"/>
  <c r="E67" i="67"/>
  <c r="E65" i="67"/>
  <c r="E66" i="67"/>
  <c r="E103" i="89"/>
  <c r="E104" i="89" s="1"/>
  <c r="E112" i="89" s="1"/>
  <c r="E113" i="89" s="1"/>
  <c r="C34" i="87" s="1"/>
  <c r="G51" i="67"/>
  <c r="G33" i="67"/>
  <c r="G34" i="67"/>
  <c r="G35" i="67"/>
  <c r="G36" i="67"/>
  <c r="G37" i="67"/>
  <c r="G38" i="67"/>
  <c r="G39" i="67"/>
  <c r="G40" i="67"/>
  <c r="D102" i="86" l="1"/>
  <c r="D103" i="86" s="1"/>
  <c r="D111" i="86" s="1"/>
  <c r="D112" i="86" s="1"/>
  <c r="C24" i="87" s="1"/>
  <c r="F24" i="87" s="1"/>
  <c r="G24" i="87" s="1"/>
  <c r="H24" i="87" s="1"/>
  <c r="D102" i="85"/>
  <c r="D103" i="85" s="1"/>
  <c r="D111" i="85" s="1"/>
  <c r="D112" i="85" s="1"/>
  <c r="C23" i="87" s="1"/>
  <c r="F23" i="87" s="1"/>
  <c r="G23" i="87" s="1"/>
  <c r="H23" i="87" s="1"/>
  <c r="H93" i="67"/>
  <c r="H94" i="67" s="1"/>
  <c r="H95" i="67" s="1"/>
  <c r="H96" i="67" s="1"/>
  <c r="I109" i="67"/>
  <c r="I111" i="67" s="1"/>
  <c r="I90" i="67"/>
  <c r="I93" i="67" s="1"/>
  <c r="I94" i="67" s="1"/>
  <c r="I95" i="67" s="1"/>
  <c r="I96" i="67" s="1"/>
  <c r="C51" i="87"/>
  <c r="F51" i="87" s="1"/>
  <c r="G51" i="87" s="1"/>
  <c r="H51" i="87" s="1"/>
  <c r="F102" i="85"/>
  <c r="F103" i="85" s="1"/>
  <c r="F111" i="85" s="1"/>
  <c r="F112" i="85" s="1"/>
  <c r="C52" i="87" s="1"/>
  <c r="F52" i="87" s="1"/>
  <c r="G52" i="87" s="1"/>
  <c r="H52" i="87" s="1"/>
  <c r="D71" i="67"/>
  <c r="D79" i="67" s="1"/>
  <c r="D81" i="67" s="1"/>
  <c r="D82" i="67" s="1"/>
  <c r="D109" i="67" s="1"/>
  <c r="D111" i="67" s="1"/>
  <c r="E71" i="67"/>
  <c r="E79" i="67" s="1"/>
  <c r="E81" i="67" s="1"/>
  <c r="E82" i="67" s="1"/>
  <c r="E109" i="67" s="1"/>
  <c r="E111" i="67" s="1"/>
  <c r="F34" i="87"/>
  <c r="G34" i="87" s="1"/>
  <c r="H34" i="87" s="1"/>
  <c r="G17" i="87"/>
  <c r="G41" i="67"/>
  <c r="G52" i="67" s="1"/>
  <c r="G54" i="67" s="1"/>
  <c r="I102" i="67" l="1"/>
  <c r="I99" i="67"/>
  <c r="I98" i="67"/>
  <c r="H98" i="67"/>
  <c r="H99" i="67"/>
  <c r="H102" i="67"/>
  <c r="F111" i="86"/>
  <c r="F112" i="86" s="1"/>
  <c r="C53" i="87" s="1"/>
  <c r="F53" i="87" s="1"/>
  <c r="G53" i="87" s="1"/>
  <c r="H53" i="87" s="1"/>
  <c r="D90" i="67"/>
  <c r="D93" i="67" s="1"/>
  <c r="D94" i="67" s="1"/>
  <c r="D95" i="67" s="1"/>
  <c r="D96" i="67" s="1"/>
  <c r="D102" i="67" s="1"/>
  <c r="E90" i="67"/>
  <c r="E93" i="67" s="1"/>
  <c r="E94" i="67" s="1"/>
  <c r="E95" i="67" s="1"/>
  <c r="E96" i="67" s="1"/>
  <c r="E102" i="67" s="1"/>
  <c r="H17" i="87"/>
  <c r="G107" i="67"/>
  <c r="G65" i="67"/>
  <c r="G66" i="67"/>
  <c r="G67" i="67"/>
  <c r="G68" i="67"/>
  <c r="G69" i="67"/>
  <c r="G70" i="67"/>
  <c r="G74" i="67"/>
  <c r="G75" i="67" s="1"/>
  <c r="G80" i="67"/>
  <c r="I103" i="67" l="1"/>
  <c r="I104" i="67" s="1"/>
  <c r="I112" i="67" s="1"/>
  <c r="I113" i="67" s="1"/>
  <c r="C49" i="87" s="1"/>
  <c r="F49" i="87" s="1"/>
  <c r="G49" i="87" s="1"/>
  <c r="H49" i="87" s="1"/>
  <c r="H103" i="67"/>
  <c r="H104" i="67" s="1"/>
  <c r="H112" i="67" s="1"/>
  <c r="H113" i="67" s="1"/>
  <c r="C44" i="87" s="1"/>
  <c r="F44" i="87" s="1"/>
  <c r="G44" i="87" s="1"/>
  <c r="H44" i="87" s="1"/>
  <c r="D98" i="67"/>
  <c r="E98" i="67"/>
  <c r="E99" i="67"/>
  <c r="D99" i="67"/>
  <c r="D103" i="67" s="1"/>
  <c r="D104" i="67" s="1"/>
  <c r="D112" i="67" s="1"/>
  <c r="D113" i="67" s="1"/>
  <c r="G71" i="67"/>
  <c r="G79" i="67" s="1"/>
  <c r="G81" i="67" s="1"/>
  <c r="G82" i="67" s="1"/>
  <c r="E103" i="67" l="1"/>
  <c r="E104" i="67" s="1"/>
  <c r="E112" i="67" s="1"/>
  <c r="E113" i="67" s="1"/>
  <c r="C32" i="87" s="1"/>
  <c r="F32" i="87" s="1"/>
  <c r="G32" i="87" s="1"/>
  <c r="H32" i="87" s="1"/>
  <c r="C27" i="87"/>
  <c r="F27" i="87" s="1"/>
  <c r="G27" i="87" s="1"/>
  <c r="H27" i="87" s="1"/>
  <c r="G90" i="67"/>
  <c r="G109" i="67"/>
  <c r="G111" i="67" s="1"/>
  <c r="G93" i="67" l="1"/>
  <c r="G94" i="67" s="1"/>
  <c r="G95" i="67" s="1"/>
  <c r="G96" i="67" s="1"/>
  <c r="G98" i="67" l="1"/>
  <c r="G99" i="67"/>
  <c r="G102" i="67"/>
  <c r="G103" i="67" l="1"/>
  <c r="G104" i="67" s="1"/>
  <c r="G112" i="67" s="1"/>
  <c r="G113" i="67" s="1"/>
  <c r="C37" i="87" l="1"/>
  <c r="F37" i="87" s="1"/>
  <c r="G37" i="87" s="1"/>
  <c r="H37" i="87" s="1"/>
  <c r="C102" i="11"/>
  <c r="C94" i="11" s="1"/>
  <c r="C28" i="11"/>
  <c r="C41" i="11"/>
  <c r="C80" i="11" s="1"/>
  <c r="D28" i="11" l="1"/>
  <c r="D30" i="11" s="1"/>
  <c r="H28" i="11"/>
  <c r="H30" i="11" s="1"/>
  <c r="F28" i="11"/>
  <c r="F30" i="11" s="1"/>
  <c r="F50" i="11" s="1"/>
  <c r="E28" i="11"/>
  <c r="G28" i="11"/>
  <c r="G30" i="11" s="1"/>
  <c r="E30" i="11"/>
  <c r="G33" i="11"/>
  <c r="C30" i="11"/>
  <c r="F38" i="11" l="1"/>
  <c r="F34" i="11"/>
  <c r="F40" i="11"/>
  <c r="F33" i="11"/>
  <c r="F39" i="11"/>
  <c r="F36" i="11"/>
  <c r="F35" i="11"/>
  <c r="F37" i="11"/>
  <c r="H36" i="11"/>
  <c r="H33" i="11"/>
  <c r="H34" i="11"/>
  <c r="H50" i="11"/>
  <c r="H38" i="11"/>
  <c r="H35" i="11"/>
  <c r="H40" i="11"/>
  <c r="H37" i="11"/>
  <c r="H39" i="11"/>
  <c r="D40" i="11"/>
  <c r="D35" i="11"/>
  <c r="D34" i="11"/>
  <c r="D33" i="11"/>
  <c r="D36" i="11"/>
  <c r="D38" i="11"/>
  <c r="D39" i="11"/>
  <c r="D37" i="11"/>
  <c r="E40" i="11"/>
  <c r="E38" i="11"/>
  <c r="E39" i="11"/>
  <c r="E37" i="11"/>
  <c r="E36" i="11"/>
  <c r="E35" i="11"/>
  <c r="E34" i="11"/>
  <c r="E33" i="11"/>
  <c r="E41" i="11" s="1"/>
  <c r="E50" i="11"/>
  <c r="D50" i="11"/>
  <c r="G34" i="11"/>
  <c r="G35" i="11"/>
  <c r="G36" i="11"/>
  <c r="G37" i="11"/>
  <c r="G38" i="11"/>
  <c r="G39" i="11"/>
  <c r="G40" i="11"/>
  <c r="G50" i="11"/>
  <c r="D13" i="2"/>
  <c r="D12" i="2"/>
  <c r="D11" i="2"/>
  <c r="D10" i="2"/>
  <c r="D9" i="2"/>
  <c r="D8" i="2"/>
  <c r="D41" i="11" l="1"/>
  <c r="F41" i="11"/>
  <c r="F51" i="11" s="1"/>
  <c r="F53" i="11" s="1"/>
  <c r="F106" i="11" s="1"/>
  <c r="H41" i="11"/>
  <c r="H51" i="11" s="1"/>
  <c r="H53" i="11" s="1"/>
  <c r="G41" i="11"/>
  <c r="G51" i="11" s="1"/>
  <c r="G53" i="11" s="1"/>
  <c r="E51" i="11"/>
  <c r="E53" i="11" s="1"/>
  <c r="D51" i="11"/>
  <c r="D53" i="11" s="1"/>
  <c r="F67" i="11" l="1"/>
  <c r="F68" i="11"/>
  <c r="F64" i="11"/>
  <c r="F69" i="11"/>
  <c r="F65" i="11"/>
  <c r="F66" i="11"/>
  <c r="H106" i="11"/>
  <c r="H79" i="11"/>
  <c r="H67" i="11"/>
  <c r="H68" i="11"/>
  <c r="H69" i="11"/>
  <c r="H66" i="11"/>
  <c r="H64" i="11"/>
  <c r="H65" i="11"/>
  <c r="F79" i="11"/>
  <c r="E69" i="11"/>
  <c r="E66" i="11"/>
  <c r="E64" i="11"/>
  <c r="E68" i="11"/>
  <c r="E65" i="11"/>
  <c r="E67" i="11"/>
  <c r="G69" i="11"/>
  <c r="G68" i="11"/>
  <c r="G64" i="11"/>
  <c r="G67" i="11"/>
  <c r="G65" i="11"/>
  <c r="G66" i="11"/>
  <c r="D65" i="11"/>
  <c r="D67" i="11"/>
  <c r="D68" i="11"/>
  <c r="D66" i="11"/>
  <c r="D64" i="11"/>
  <c r="E106" i="11"/>
  <c r="E79" i="11"/>
  <c r="J79" i="11" s="1"/>
  <c r="J80" i="11" s="1"/>
  <c r="J81" i="11" s="1"/>
  <c r="D69" i="11"/>
  <c r="D79" i="11"/>
  <c r="I79" i="11" s="1"/>
  <c r="D106" i="11"/>
  <c r="G79" i="11"/>
  <c r="G106" i="11"/>
  <c r="J108" i="11" l="1"/>
  <c r="J110" i="11" s="1"/>
  <c r="J89" i="11"/>
  <c r="F70" i="11"/>
  <c r="F78" i="11" s="1"/>
  <c r="F80" i="11" s="1"/>
  <c r="F81" i="11" s="1"/>
  <c r="F89" i="11" s="1"/>
  <c r="F92" i="11" s="1"/>
  <c r="F93" i="11" s="1"/>
  <c r="F94" i="11" s="1"/>
  <c r="F95" i="11" s="1"/>
  <c r="I70" i="11"/>
  <c r="I78" i="11" s="1"/>
  <c r="I80" i="11" s="1"/>
  <c r="I81" i="11" s="1"/>
  <c r="I108" i="11" s="1"/>
  <c r="I110" i="11" s="1"/>
  <c r="H70" i="11"/>
  <c r="H78" i="11" s="1"/>
  <c r="H80" i="11" s="1"/>
  <c r="H81" i="11" s="1"/>
  <c r="E70" i="11"/>
  <c r="E78" i="11" s="1"/>
  <c r="E80" i="11" s="1"/>
  <c r="E81" i="11" s="1"/>
  <c r="G70" i="11"/>
  <c r="G78" i="11" s="1"/>
  <c r="G80" i="11" s="1"/>
  <c r="G81" i="11" s="1"/>
  <c r="G89" i="11" s="1"/>
  <c r="D70" i="11"/>
  <c r="D78" i="11" s="1"/>
  <c r="D80" i="11" s="1"/>
  <c r="D81" i="11" s="1"/>
  <c r="D89" i="11" s="1"/>
  <c r="J92" i="11" l="1"/>
  <c r="J93" i="11" s="1"/>
  <c r="J94" i="11" s="1"/>
  <c r="J95" i="11" s="1"/>
  <c r="F108" i="11"/>
  <c r="F110" i="11" s="1"/>
  <c r="I89" i="11"/>
  <c r="H108" i="11"/>
  <c r="H110" i="11" s="1"/>
  <c r="H89" i="11"/>
  <c r="E89" i="11"/>
  <c r="E92" i="11" s="1"/>
  <c r="E93" i="11" s="1"/>
  <c r="E94" i="11" s="1"/>
  <c r="E95" i="11" s="1"/>
  <c r="E98" i="11" s="1"/>
  <c r="E108" i="11"/>
  <c r="E110" i="11" s="1"/>
  <c r="D108" i="11"/>
  <c r="D110" i="11" s="1"/>
  <c r="F101" i="11"/>
  <c r="F98" i="11"/>
  <c r="F97" i="11"/>
  <c r="G108" i="11"/>
  <c r="G110" i="11" s="1"/>
  <c r="J98" i="11" l="1"/>
  <c r="J101" i="11"/>
  <c r="J97" i="11"/>
  <c r="H92" i="11"/>
  <c r="H93" i="11" s="1"/>
  <c r="H94" i="11" s="1"/>
  <c r="I92" i="11"/>
  <c r="I93" i="11" s="1"/>
  <c r="I94" i="11" s="1"/>
  <c r="I95" i="11" s="1"/>
  <c r="E97" i="11"/>
  <c r="E101" i="11"/>
  <c r="F102" i="11"/>
  <c r="F103" i="11" s="1"/>
  <c r="F111" i="11" s="1"/>
  <c r="F112" i="11" s="1"/>
  <c r="C19" i="87" s="1"/>
  <c r="D92" i="11"/>
  <c r="G92" i="11"/>
  <c r="G93" i="11" s="1"/>
  <c r="G94" i="11" s="1"/>
  <c r="G95" i="11" s="1"/>
  <c r="J102" i="11" l="1"/>
  <c r="J103" i="11" s="1"/>
  <c r="J111" i="11" s="1"/>
  <c r="J112" i="11" s="1"/>
  <c r="F9" i="87" s="1"/>
  <c r="G9" i="87" s="1"/>
  <c r="H9" i="87" s="1"/>
  <c r="E102" i="11"/>
  <c r="E103" i="11" s="1"/>
  <c r="E111" i="11" s="1"/>
  <c r="E112" i="11" s="1"/>
  <c r="C31" i="87" s="1"/>
  <c r="F31" i="87" s="1"/>
  <c r="G31" i="87" s="1"/>
  <c r="H31" i="87" s="1"/>
  <c r="I101" i="11"/>
  <c r="I97" i="11"/>
  <c r="I98" i="11"/>
  <c r="H95" i="11"/>
  <c r="D93" i="11"/>
  <c r="D94" i="11" s="1"/>
  <c r="D95" i="11" s="1"/>
  <c r="D101" i="11" s="1"/>
  <c r="F19" i="87"/>
  <c r="G19" i="87" s="1"/>
  <c r="H19" i="87" s="1"/>
  <c r="F6" i="87"/>
  <c r="G6" i="87" s="1"/>
  <c r="H6" i="87" s="1"/>
  <c r="G97" i="11"/>
  <c r="G98" i="11"/>
  <c r="G101" i="11"/>
  <c r="C48" i="87" l="1"/>
  <c r="F48" i="87" s="1"/>
  <c r="G48" i="87" s="1"/>
  <c r="H48" i="87" s="1"/>
  <c r="D97" i="11"/>
  <c r="D98" i="11"/>
  <c r="H101" i="11"/>
  <c r="H97" i="11"/>
  <c r="H98" i="11"/>
  <c r="I102" i="11"/>
  <c r="I103" i="11" s="1"/>
  <c r="D102" i="11"/>
  <c r="D103" i="11" s="1"/>
  <c r="D111" i="11" s="1"/>
  <c r="D112" i="11" s="1"/>
  <c r="C26" i="87" s="1"/>
  <c r="G102" i="11"/>
  <c r="G103" i="11" s="1"/>
  <c r="G111" i="11" s="1"/>
  <c r="G112" i="11" s="1"/>
  <c r="C36" i="87" s="1"/>
  <c r="H102" i="11" l="1"/>
  <c r="H103" i="11" s="1"/>
  <c r="H111" i="11" s="1"/>
  <c r="H112" i="11" s="1"/>
  <c r="F26" i="87"/>
  <c r="G26" i="87" s="1"/>
  <c r="H26" i="87" s="1"/>
  <c r="F5" i="87"/>
  <c r="G5" i="87" s="1"/>
  <c r="H5" i="87" s="1"/>
  <c r="F36" i="87"/>
  <c r="F7" i="87"/>
  <c r="G7" i="87" s="1"/>
  <c r="H7" i="87" s="1"/>
  <c r="F49" i="67"/>
  <c r="F53" i="67" s="1"/>
  <c r="F54" i="67" s="1"/>
  <c r="G36" i="87" l="1"/>
  <c r="H36" i="87" s="1"/>
  <c r="F3" i="87"/>
  <c r="G3" i="87" s="1"/>
  <c r="H3" i="87" s="1"/>
  <c r="C16" i="87"/>
  <c r="I111" i="11"/>
  <c r="I112" i="11" s="1"/>
  <c r="F66" i="67"/>
  <c r="F107" i="67"/>
  <c r="F65" i="67"/>
  <c r="F68" i="67"/>
  <c r="F70" i="67"/>
  <c r="F69" i="67"/>
  <c r="F74" i="67"/>
  <c r="F75" i="67" s="1"/>
  <c r="F80" i="67"/>
  <c r="F67" i="67"/>
  <c r="C43" i="87" l="1"/>
  <c r="F43" i="87" s="1"/>
  <c r="G43" i="87" s="1"/>
  <c r="H43" i="87" s="1"/>
  <c r="F8" i="87"/>
  <c r="G8" i="87" s="1"/>
  <c r="H8" i="87" s="1"/>
  <c r="F16" i="87"/>
  <c r="G16" i="87" s="1"/>
  <c r="H16" i="87" s="1"/>
  <c r="F71" i="67"/>
  <c r="F79" i="67" s="1"/>
  <c r="F81" i="67" s="1"/>
  <c r="F82" i="67" s="1"/>
  <c r="F109" i="67" l="1"/>
  <c r="F111" i="67" s="1"/>
  <c r="F90" i="67"/>
  <c r="F93" i="67" l="1"/>
  <c r="F94" i="67" l="1"/>
  <c r="F95" i="67" l="1"/>
  <c r="F96" i="67" s="1"/>
  <c r="F98" i="67" l="1"/>
  <c r="F102" i="67"/>
  <c r="F99" i="67"/>
  <c r="F103" i="67" l="1"/>
  <c r="F104" i="67" s="1"/>
  <c r="F112" i="67" s="1"/>
  <c r="F113" i="67" s="1"/>
  <c r="F4" i="87" l="1"/>
  <c r="G4" i="87" s="1"/>
  <c r="H4" i="87" s="1"/>
  <c r="H10" i="87" s="1"/>
  <c r="C20" i="87"/>
  <c r="F20" i="87" s="1"/>
  <c r="G20" i="87" s="1"/>
  <c r="H20" i="87" s="1"/>
  <c r="H54" i="87" s="1"/>
</calcChain>
</file>

<file path=xl/sharedStrings.xml><?xml version="1.0" encoding="utf-8"?>
<sst xmlns="http://schemas.openxmlformats.org/spreadsheetml/2006/main" count="2097" uniqueCount="324">
  <si>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</si>
  <si>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</si>
  <si>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</si>
  <si>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</si>
  <si>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</si>
  <si>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</si>
  <si>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</si>
  <si>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</si>
  <si>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</si>
  <si>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</si>
  <si>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</si>
  <si>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</si>
  <si>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</si>
  <si>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</si>
  <si>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</si>
  <si>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</si>
  <si>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</si>
  <si>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</si>
  <si>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</si>
  <si>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</si>
  <si>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</si>
  <si>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</si>
  <si>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</si>
  <si>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</si>
  <si>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</si>
  <si>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</si>
  <si>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</si>
  <si>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</si>
  <si>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</si>
  <si>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</si>
  <si>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</si>
  <si>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</si>
  <si>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</si>
  <si>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</si>
  <si>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</si>
  <si>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</si>
  <si>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</si>
  <si>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</si>
  <si>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</si>
  <si>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</si>
  <si>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</si>
  <si>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</si>
  <si>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</si>
  <si>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</si>
  <si>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</si>
  <si>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</si>
  <si>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</si>
  <si>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</si>
  <si>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</si>
  <si>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</si>
  <si>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</si>
  <si>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</si>
  <si>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</si>
  <si>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</si>
  <si>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</si>
  <si>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</si>
  <si>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</si>
  <si>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</si>
  <si>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</si>
  <si>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</si>
  <si>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</si>
  <si>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</si>
  <si>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</si>
  <si>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</si>
  <si>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</si>
  <si>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</si>
  <si>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</si>
  <si>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</si>
  <si>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</si>
  <si>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</si>
  <si>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</si>
  <si>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</si>
  <si>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</si>
  <si>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</si>
  <si>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</si>
  <si>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</si>
  <si>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</si>
  <si>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</si>
  <si>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</si>
  <si>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</si>
  <si>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</si>
  <si>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</si>
  <si>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</si>
  <si>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</si>
  <si>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</si>
  <si>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</si>
  <si>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</si>
  <si>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</si>
  <si>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</si>
  <si>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</si>
  <si>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</si>
  <si>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</si>
  <si>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</si>
  <si>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</si>
  <si>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</si>
  <si>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</si>
  <si>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</si>
  <si>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</si>
  <si>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</si>
  <si>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</si>
  <si>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</si>
  <si>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</si>
  <si>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</si>
  <si>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</si>
  <si>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</si>
  <si>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</si>
  <si>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</si>
  <si>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</si>
  <si>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</si>
  <si>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</si>
  <si>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</si>
  <si>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</si>
  <si>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</si>
  <si>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</si>
  <si>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</si>
  <si>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</si>
  <si>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</si>
  <si>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</si>
  <si>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</si>
  <si>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</si>
  <si>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</si>
  <si>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</si>
  <si>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</si>
  <si>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</si>
  <si>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</si>
  <si>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</si>
  <si>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</si>
  <si>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</si>
  <si>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</si>
  <si>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</si>
  <si>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 xml:space="preserve">C1-A  (PIS 0,65)   </t>
  </si>
  <si>
    <t>C1. B  (COFINS 3,0)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</si>
  <si>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</si>
  <si>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</si>
  <si>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</si>
  <si>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</si>
  <si>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</si>
  <si>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</si>
  <si>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</si>
  <si>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</si>
  <si>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</si>
  <si>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</si>
  <si>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 xml:space="preserve">C3-A (ISS 5,0) </t>
  </si>
  <si>
    <r>
      <t>N</t>
    </r>
    <r>
      <rPr>
        <strike/>
        <sz val="12"/>
        <rFont val="Calibri"/>
        <family val="2"/>
        <scheme val="minor"/>
      </rPr>
      <t>º</t>
    </r>
    <r>
      <rPr>
        <sz val="12"/>
        <rFont val="Calibri"/>
        <family val="2"/>
        <scheme val="minor"/>
      </rPr>
      <t xml:space="preserve"> de meses de execução contratual</t>
    </r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</si>
  <si>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</si>
  <si>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</si>
  <si>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</si>
  <si>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</si>
  <si>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</si>
  <si>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</si>
  <si>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</si>
  <si>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</si>
  <si>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</si>
  <si>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</si>
  <si>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</si>
  <si>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</si>
  <si>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</si>
  <si>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</si>
  <si>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</si>
  <si>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</si>
  <si>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</si>
  <si>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</si>
  <si>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</si>
  <si>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</si>
  <si>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</si>
  <si>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</si>
  <si>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</si>
  <si>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</si>
  <si>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</si>
  <si>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</si>
  <si>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</si>
  <si>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</si>
  <si>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</si>
  <si>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</si>
  <si>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</si>
  <si>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</si>
  <si>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</si>
  <si>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</si>
  <si>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</si>
  <si>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</si>
  <si>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</si>
  <si>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</si>
  <si>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</si>
  <si>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</si>
  <si>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</si>
  <si>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</si>
  <si>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</si>
  <si>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</si>
  <si>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</si>
  <si>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</si>
  <si>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</si>
  <si>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</si>
  <si>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</si>
  <si>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</si>
  <si>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</si>
  <si>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</si>
  <si>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</si>
  <si>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</si>
  <si>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</si>
  <si>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</si>
  <si>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</si>
  <si>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</si>
  <si>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</si>
  <si>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</si>
  <si>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</si>
  <si>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</si>
  <si>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</si>
  <si>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r>
      <rPr>
        <b/>
        <sz val="12"/>
        <rFont val="Calibri"/>
        <family val="2"/>
        <scheme val="minor"/>
      </rPr>
      <t>INSS</t>
    </r>
    <r>
      <rPr>
        <sz val="12"/>
        <rFont val="Calibri"/>
        <family val="2"/>
        <scheme val="minor"/>
      </rPr>
      <t xml:space="preserve"> (20%)</t>
    </r>
  </si>
  <si>
    <r>
      <rPr>
        <b/>
        <sz val="12"/>
        <rFont val="Calibri"/>
        <family val="2"/>
        <scheme val="minor"/>
      </rPr>
      <t>SESI OU SESC</t>
    </r>
    <r>
      <rPr>
        <sz val="12"/>
        <rFont val="Calibri"/>
        <family val="2"/>
        <scheme val="minor"/>
      </rPr>
      <t xml:space="preserve"> (1,5%)</t>
    </r>
  </si>
  <si>
    <r>
      <rPr>
        <b/>
        <sz val="12"/>
        <rFont val="Calibri"/>
        <family val="2"/>
        <scheme val="minor"/>
      </rPr>
      <t>SENAI OU SENAC</t>
    </r>
    <r>
      <rPr>
        <sz val="12"/>
        <rFont val="Calibri"/>
        <family val="2"/>
        <scheme val="minor"/>
      </rPr>
      <t xml:space="preserve"> (1,0%)</t>
    </r>
  </si>
  <si>
    <r>
      <rPr>
        <b/>
        <sz val="12"/>
        <rFont val="Calibri"/>
        <family val="2"/>
        <scheme val="minor"/>
      </rPr>
      <t xml:space="preserve">INCRA </t>
    </r>
    <r>
      <rPr>
        <sz val="12"/>
        <rFont val="Calibri"/>
        <family val="2"/>
        <scheme val="minor"/>
      </rPr>
      <t>(0,20% ou  2,7%) - IN nº971, MPS/SRP/2009, Anexo I e II ver código da Tabela</t>
    </r>
  </si>
  <si>
    <r>
      <rPr>
        <b/>
        <sz val="12"/>
        <rFont val="Calibri"/>
        <family val="2"/>
        <scheme val="minor"/>
      </rPr>
      <t>SALÁRIO EDUCAÇÃO</t>
    </r>
    <r>
      <rPr>
        <sz val="12"/>
        <rFont val="Calibri"/>
        <family val="2"/>
        <scheme val="minor"/>
      </rPr>
      <t xml:space="preserve"> (2,5%)</t>
    </r>
  </si>
  <si>
    <t xml:space="preserve">FGTS (8,0%) </t>
  </si>
  <si>
    <r>
      <rPr>
        <b/>
        <sz val="12"/>
        <rFont val="Calibri"/>
        <family val="2"/>
        <scheme val="minor"/>
      </rPr>
      <t>RAT X SAT (Conforme GFIP)</t>
    </r>
    <r>
      <rPr>
        <sz val="12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</si>
  <si>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</si>
  <si>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</si>
  <si>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</si>
  <si>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</si>
  <si>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</si>
  <si>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</si>
  <si>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</si>
  <si>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</si>
  <si>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</si>
  <si>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</si>
  <si>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</si>
  <si>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</si>
  <si>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</si>
  <si>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</si>
  <si>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</si>
  <si>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</si>
  <si>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</si>
  <si>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</si>
  <si>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</si>
  <si>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</si>
  <si>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</si>
  <si>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Valor Total LOTE I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</si>
  <si>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</si>
  <si>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</si>
  <si>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</si>
  <si>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</si>
  <si>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</si>
  <si>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</si>
  <si>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LEI Nº 14.434/2022</t>
  </si>
  <si>
    <t>TOTAL MENSAL POR  FUNCIONÁRIO HRB - AMBULANCIA TIPO "D"</t>
  </si>
  <si>
    <t>TOTAL MENSAL POR  FUNCIONÁRIO HRB - AMBULANCIA TIPO "B"</t>
  </si>
  <si>
    <t>40% * 1.412,00</t>
  </si>
  <si>
    <t>40% * 1.412</t>
  </si>
  <si>
    <t>INFORMAÇÃO:</t>
  </si>
  <si>
    <t>Ambulância Tipo "B"</t>
  </si>
  <si>
    <t>Ambulância Tipo "D"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</si>
  <si>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</si>
  <si>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</si>
  <si>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</si>
  <si>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>Ambulância de Suporte Básico Tipo B</t>
  </si>
  <si>
    <t>Definição dos Materiais e Equipamentos das Ambulâncias:</t>
  </si>
  <si>
    <t>Ambulância de Suporte Avançado Tipo D (UTI Móvel)</t>
  </si>
  <si>
    <t xml:space="preserve"> MATERIAIS PERMANENTES</t>
  </si>
  <si>
    <t xml:space="preserve"> Custo Variável do Veículo</t>
  </si>
  <si>
    <t>LOTE I - HOSPITAL DE BASE DOUTOR ARY PINHEIRO-HBAP E HOSPITAL REGIONAL DE BURITIS-HRB</t>
  </si>
  <si>
    <t>ITEM</t>
  </si>
  <si>
    <t>DEFINIÇÃO/CLASSIFICAÇÃO DOS VEÍCULO/AMBULÂNCIA</t>
  </si>
  <si>
    <t>QUANTIDADE</t>
  </si>
  <si>
    <t xml:space="preserve">VALOR UNITÁRIO (R$) </t>
  </si>
  <si>
    <t>VALOR TOTAL (R$) - LOTE I:</t>
  </si>
  <si>
    <t>Motorista - Diurno</t>
  </si>
  <si>
    <t>Prestação de Serviço de Transporte Inter-Hospitalar de Pacientes, com disponibilização de
Veículo/Ambulância de Suporte Avançado TIPO ”D” (UTI Móvel) e Suporte Básico TIPO "B"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</si>
  <si>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</si>
  <si>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</si>
  <si>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</si>
  <si>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 xml:space="preserve">Médico - Diurno </t>
  </si>
  <si>
    <t>HB - TIPO "B"</t>
  </si>
  <si>
    <t>HB - TIPO "D"</t>
  </si>
  <si>
    <t>HRB - TIPO "B"</t>
  </si>
  <si>
    <t>HRB - TIPO "D"</t>
  </si>
  <si>
    <t>Prestação de Serviço de Transporte Inter-Hospitalar de Pacientes, com disponibilização de
Veículo/Ambulância de Suporte Avançado TIPO ”D” (UTI Móvel) e Suporte Básico TIPO "B", com mão de obra especializada</t>
  </si>
  <si>
    <t>Par de calçados</t>
  </si>
  <si>
    <t xml:space="preserve">Periodicidade </t>
  </si>
  <si>
    <t>6 meses</t>
  </si>
  <si>
    <t>Crachá</t>
  </si>
  <si>
    <t xml:space="preserve"> Calça</t>
  </si>
  <si>
    <t>Camisa</t>
  </si>
  <si>
    <t>UNIDADE</t>
  </si>
  <si>
    <t>SERVIÇO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</si>
  <si>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</si>
  <si>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</si>
  <si>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RO000094/2024</t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</si>
  <si>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</t>
    </r>
    <r>
      <rPr>
        <sz val="11"/>
        <color theme="1"/>
        <rFont val="Calibri"/>
        <family val="2"/>
        <scheme val="minor"/>
      </rPr>
      <t xml:space="preserve">. Exigir de seus empregados que se mantenham </t>
    </r>
    <r>
      <rPr>
        <b/>
        <sz val="11"/>
        <color theme="1"/>
        <rFont val="Calibri"/>
        <family val="2"/>
        <scheme val="minor"/>
      </rPr>
      <t xml:space="preserve">uniformizados e identificados por crachás </t>
    </r>
    <r>
      <rPr>
        <sz val="11"/>
        <color theme="1"/>
        <rFont val="Calibri"/>
        <family val="2"/>
        <scheme val="minor"/>
      </rPr>
      <t xml:space="preserve">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calçados,</t>
    </r>
    <r>
      <rPr>
        <sz val="11"/>
        <color theme="1"/>
        <rFont val="Calibri"/>
        <family val="2"/>
        <scheme val="minor"/>
      </rPr>
      <t xml:space="preserve">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
</t>
    </r>
  </si>
  <si>
    <t>VALOR TOTAL ANUAL (R$)</t>
  </si>
  <si>
    <t>VALOR TOTAL MENSAL (R$)</t>
  </si>
  <si>
    <t>CARGA
HORÁRIA</t>
  </si>
  <si>
    <t>24 horas/dia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</si>
  <si>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</si>
  <si>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</si>
  <si>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t>24 horas/dia
(7 dias por semana)</t>
  </si>
  <si>
    <t>12 horas/dia Das 07h00min às 19h00min 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</si>
  <si>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</si>
  <si>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</si>
  <si>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</t>
    </r>
    <r>
      <rPr>
        <sz val="11"/>
        <rFont val="Calibri"/>
        <family val="2"/>
        <scheme val="minor"/>
      </rPr>
      <t xml:space="preserve">”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</si>
  <si>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t>Quantidade Anual</t>
  </si>
  <si>
    <t>TOTAL MENSAL POR  FUNCIONÁRIO HBAP - AMBULANCIA TIPO "B"</t>
  </si>
  <si>
    <t>TOTAL MENSAL POR  FUNCIONÁRIO HBAP - AMBULANCIA TIPO "D"</t>
  </si>
  <si>
    <t>HBAP - TIPO "B"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</si>
  <si>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</si>
  <si>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</si>
  <si>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</si>
  <si>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</si>
  <si>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TOTAL MENSAL POR  FUNCIONÁRIO HBAP  - AMBULANCIA TIPO "B"</t>
  </si>
  <si>
    <t>TOTAL MENSAL POR  FUNCIONÁRIO HBAP  - AMBULANCIA TIPO "D"</t>
  </si>
  <si>
    <t>24 horas/dia (7 dias por 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</si>
  <si>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</si>
  <si>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t>HICD - TIPO "B"</t>
  </si>
  <si>
    <t>HICD - TIPO "D"</t>
  </si>
  <si>
    <t>HICD  - TIPO "B"</t>
  </si>
  <si>
    <t>TOTAL MENSAL POR  FUNCIONÁRIO HICD - AMBULANCIA TIPO "B"</t>
  </si>
  <si>
    <t>TOTAL MENSAL POR  FUNCIONÁRIO HICD  - AMBULANCIA TIPO "D"</t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</si>
  <si>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</t>
    </r>
    <r>
      <rPr>
        <b/>
        <sz val="11"/>
        <rFont val="Calibri"/>
        <family val="2"/>
        <scheme val="minor"/>
      </rPr>
      <t xml:space="preserve"> (HOSPITAL INFANTIL COSME E DAMIÃO - HICD)</t>
    </r>
  </si>
  <si>
    <t>LOTE I - HOSPITAL DE BASE DOUTOR ARY PINHEIRO - HBAP, HOSPITAL REGIONAL DE BURITIS - HRB E HOSPITAL INFANTIL COSME E DAMIÃO - HICD</t>
  </si>
  <si>
    <t>HBAP - TIPO "D"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</si>
  <si>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e, finalmente, para 2024, a alíquota de 6,97%, sobre o valor de 2023.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</si>
  <si>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 xml:space="preserve">Quantidade Mensal </t>
  </si>
  <si>
    <t>OXIGÊNIO GASOSO</t>
  </si>
  <si>
    <t>Valor m3</t>
  </si>
  <si>
    <t>m3</t>
  </si>
  <si>
    <t>AR COMPRIMIDO MEDICINAL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</si>
</sst>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/>
    <xf numFmtId="0" fontId="35" fillId="0" borderId="0"/>
  </cellStyleXfs>
  <cellXfs count="530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23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2" fillId="2" borderId="2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2" fillId="2" borderId="23" xfId="5" applyFont="1" applyFill="1" applyBorder="1" applyAlignment="1">
      <alignment horizontal="center" vertical="center" wrapText="1"/>
    </xf>
    <xf numFmtId="164" fontId="23" fillId="2" borderId="4" xfId="2" applyNumberFormat="1" applyFont="1" applyFill="1" applyBorder="1" applyAlignment="1">
      <alignment horizontal="justify" vertical="center"/>
    </xf>
    <xf numFmtId="0" fontId="22" fillId="0" borderId="23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4" xfId="5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2" borderId="4" xfId="5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right" vertical="center"/>
    </xf>
    <xf numFmtId="10" fontId="22" fillId="0" borderId="4" xfId="2" applyNumberFormat="1" applyFont="1" applyFill="1" applyBorder="1" applyAlignment="1">
      <alignment horizontal="center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2" xfId="5" applyNumberFormat="1" applyFont="1" applyFill="1" applyBorder="1" applyAlignment="1">
      <alignment horizontal="center" vertical="center" wrapText="1"/>
    </xf>
    <xf numFmtId="165" fontId="22" fillId="2" borderId="22" xfId="0" applyNumberFormat="1" applyFont="1" applyFill="1" applyBorder="1" applyAlignment="1">
      <alignment horizontal="center" vertical="center"/>
    </xf>
    <xf numFmtId="165" fontId="22" fillId="2" borderId="22" xfId="0" quotePrefix="1" applyNumberFormat="1" applyFont="1" applyFill="1" applyBorder="1" applyAlignment="1">
      <alignment horizontal="center" vertical="center"/>
    </xf>
    <xf numFmtId="165" fontId="23" fillId="6" borderId="22" xfId="0" applyNumberFormat="1" applyFont="1" applyFill="1" applyBorder="1" applyAlignment="1">
      <alignment horizontal="center" vertical="center"/>
    </xf>
    <xf numFmtId="165" fontId="22" fillId="0" borderId="22" xfId="0" applyNumberFormat="1" applyFont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0" fontId="22" fillId="0" borderId="4" xfId="5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3" borderId="4" xfId="5" applyNumberFormat="1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vertical="center"/>
    </xf>
    <xf numFmtId="165" fontId="22" fillId="2" borderId="4" xfId="2" applyNumberFormat="1" applyFont="1" applyFill="1" applyBorder="1" applyAlignment="1">
      <alignment horizontal="center" vertical="center"/>
    </xf>
    <xf numFmtId="0" fontId="31" fillId="4" borderId="23" xfId="5" applyFont="1" applyFill="1" applyBorder="1" applyAlignment="1">
      <alignment horizontal="center"/>
    </xf>
    <xf numFmtId="165" fontId="22" fillId="2" borderId="4" xfId="0" applyNumberFormat="1" applyFont="1" applyFill="1" applyBorder="1" applyAlignment="1">
      <alignment horizontal="center" vertical="center"/>
    </xf>
    <xf numFmtId="164" fontId="25" fillId="2" borderId="4" xfId="2" applyNumberFormat="1" applyFont="1" applyFill="1" applyBorder="1" applyAlignment="1">
      <alignment horizontal="justify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10" fontId="32" fillId="0" borderId="4" xfId="0" applyNumberFormat="1" applyFont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165" fontId="22" fillId="0" borderId="4" xfId="5" applyNumberFormat="1" applyFont="1" applyBorder="1" applyAlignment="1">
      <alignment horizontal="center" vertical="center"/>
    </xf>
    <xf numFmtId="0" fontId="22" fillId="2" borderId="23" xfId="5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vertical="center" wrapText="1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2" fillId="2" borderId="4" xfId="5" applyNumberFormat="1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31" fillId="4" borderId="4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64" fontId="23" fillId="2" borderId="4" xfId="2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165" fontId="28" fillId="7" borderId="15" xfId="0" applyNumberFormat="1" applyFont="1" applyFill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 shrinkToFit="1"/>
    </xf>
    <xf numFmtId="0" fontId="28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8" fillId="5" borderId="23" xfId="0" applyFont="1" applyFill="1" applyBorder="1" applyAlignment="1">
      <alignment horizontal="center" vertical="center"/>
    </xf>
    <xf numFmtId="0" fontId="28" fillId="5" borderId="22" xfId="0" applyFont="1" applyFill="1" applyBorder="1" applyAlignment="1">
      <alignment horizontal="center" vertical="center"/>
    </xf>
    <xf numFmtId="165" fontId="27" fillId="0" borderId="4" xfId="7" applyNumberFormat="1" applyFont="1" applyBorder="1" applyAlignment="1">
      <alignment horizontal="center" vertical="center"/>
    </xf>
    <xf numFmtId="165" fontId="27" fillId="0" borderId="22" xfId="7" applyNumberFormat="1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165" fontId="2" fillId="7" borderId="15" xfId="7" applyNumberFormat="1" applyFont="1" applyFill="1" applyBorder="1" applyAlignment="1">
      <alignment horizontal="center"/>
    </xf>
    <xf numFmtId="165" fontId="25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0" fontId="0" fillId="2" borderId="4" xfId="0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165" fontId="0" fillId="2" borderId="33" xfId="0" applyNumberForma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165" fontId="0" fillId="2" borderId="35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/>
    </xf>
    <xf numFmtId="165" fontId="0" fillId="2" borderId="26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5" fontId="0" fillId="2" borderId="22" xfId="0" applyNumberForma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10" fontId="22" fillId="2" borderId="4" xfId="2" applyNumberFormat="1" applyFont="1" applyFill="1" applyBorder="1" applyAlignment="1">
      <alignment horizontal="center" vertical="center"/>
    </xf>
    <xf numFmtId="165" fontId="23" fillId="4" borderId="4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 wrapText="1"/>
    </xf>
    <xf numFmtId="0" fontId="33" fillId="0" borderId="0" xfId="12" applyAlignment="1">
      <alignment horizontal="left" vertical="top"/>
    </xf>
    <xf numFmtId="0" fontId="29" fillId="2" borderId="4" xfId="0" applyFont="1" applyFill="1" applyBorder="1" applyAlignment="1">
      <alignment horizontal="center" vertical="center"/>
    </xf>
    <xf numFmtId="165" fontId="23" fillId="4" borderId="22" xfId="5" applyNumberFormat="1" applyFont="1" applyFill="1" applyBorder="1" applyAlignment="1">
      <alignment horizontal="center" vertical="center" wrapText="1"/>
    </xf>
    <xf numFmtId="165" fontId="23" fillId="0" borderId="22" xfId="5" applyNumberFormat="1" applyFont="1" applyBorder="1" applyAlignment="1">
      <alignment horizontal="center" vertical="center" wrapText="1"/>
    </xf>
    <xf numFmtId="0" fontId="29" fillId="2" borderId="33" xfId="0" applyFont="1" applyFill="1" applyBorder="1" applyAlignment="1">
      <alignment horizontal="center" vertical="center"/>
    </xf>
    <xf numFmtId="165" fontId="0" fillId="2" borderId="33" xfId="0" applyNumberForma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/>
    </xf>
    <xf numFmtId="165" fontId="25" fillId="2" borderId="22" xfId="2" applyNumberFormat="1" applyFont="1" applyFill="1" applyBorder="1" applyAlignment="1">
      <alignment horizontal="justify" vertical="center"/>
    </xf>
    <xf numFmtId="165" fontId="22" fillId="2" borderId="22" xfId="2" applyNumberFormat="1" applyFont="1" applyFill="1" applyBorder="1" applyAlignment="1">
      <alignment horizontal="center" vertical="center"/>
    </xf>
    <xf numFmtId="165" fontId="23" fillId="2" borderId="22" xfId="2" applyNumberFormat="1" applyFont="1" applyFill="1" applyBorder="1" applyAlignment="1">
      <alignment horizontal="justify" vertical="center"/>
    </xf>
    <xf numFmtId="165" fontId="23" fillId="6" borderId="22" xfId="5" applyNumberFormat="1" applyFont="1" applyFill="1" applyBorder="1" applyAlignment="1">
      <alignment horizontal="center" vertical="center" wrapText="1"/>
    </xf>
    <xf numFmtId="165" fontId="22" fillId="0" borderId="22" xfId="2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 wrapText="1"/>
    </xf>
    <xf numFmtId="0" fontId="22" fillId="4" borderId="22" xfId="0" applyFont="1" applyFill="1" applyBorder="1" applyAlignment="1">
      <alignment horizontal="left" vertical="center" wrapText="1"/>
    </xf>
    <xf numFmtId="165" fontId="23" fillId="5" borderId="22" xfId="2" applyNumberFormat="1" applyFont="1" applyFill="1" applyBorder="1" applyAlignment="1">
      <alignment horizontal="center" vertical="center"/>
    </xf>
    <xf numFmtId="165" fontId="31" fillId="4" borderId="22" xfId="5" applyNumberFormat="1" applyFont="1" applyFill="1" applyBorder="1" applyAlignment="1">
      <alignment horizontal="center" vertical="center" wrapText="1"/>
    </xf>
    <xf numFmtId="165" fontId="22" fillId="0" borderId="22" xfId="0" quotePrefix="1" applyNumberFormat="1" applyFont="1" applyBorder="1" applyAlignment="1">
      <alignment horizontal="center" vertical="center"/>
    </xf>
    <xf numFmtId="165" fontId="23" fillId="5" borderId="22" xfId="5" applyNumberFormat="1" applyFont="1" applyFill="1" applyBorder="1" applyAlignment="1">
      <alignment horizontal="center" vertical="center" wrapText="1"/>
    </xf>
    <xf numFmtId="165" fontId="23" fillId="2" borderId="22" xfId="0" applyNumberFormat="1" applyFont="1" applyFill="1" applyBorder="1" applyAlignment="1">
      <alignment horizontal="center" vertical="center"/>
    </xf>
    <xf numFmtId="165" fontId="22" fillId="0" borderId="22" xfId="5" applyNumberFormat="1" applyFont="1" applyBorder="1" applyAlignment="1">
      <alignment horizontal="center" vertical="center" wrapText="1"/>
    </xf>
    <xf numFmtId="165" fontId="22" fillId="0" borderId="22" xfId="5" applyNumberFormat="1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65" fontId="23" fillId="3" borderId="22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8" fillId="5" borderId="37" xfId="0" applyFont="1" applyFill="1" applyBorder="1" applyAlignment="1">
      <alignment horizontal="center" vertical="center"/>
    </xf>
    <xf numFmtId="0" fontId="28" fillId="5" borderId="33" xfId="0" applyFont="1" applyFill="1" applyBorder="1" applyAlignment="1">
      <alignment horizontal="center" vertical="center"/>
    </xf>
    <xf numFmtId="0" fontId="28" fillId="5" borderId="35" xfId="0" applyFont="1" applyFill="1" applyBorder="1" applyAlignment="1">
      <alignment horizontal="center" vertical="center"/>
    </xf>
    <xf numFmtId="0" fontId="27" fillId="2" borderId="3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27" fillId="0" borderId="11" xfId="0" applyFont="1" applyBorder="1" applyAlignment="1">
      <alignment horizontal="center" vertical="center"/>
    </xf>
    <xf numFmtId="1" fontId="29" fillId="0" borderId="11" xfId="0" applyNumberFormat="1" applyFont="1" applyBorder="1" applyAlignment="1">
      <alignment horizontal="center" vertical="center" shrinkToFit="1"/>
    </xf>
    <xf numFmtId="165" fontId="27" fillId="0" borderId="11" xfId="0" applyNumberFormat="1" applyFont="1" applyBorder="1" applyAlignment="1">
      <alignment horizontal="center" vertical="center"/>
    </xf>
    <xf numFmtId="165" fontId="27" fillId="0" borderId="11" xfId="7" applyNumberFormat="1" applyFont="1" applyBorder="1" applyAlignment="1">
      <alignment horizontal="center" vertical="center"/>
    </xf>
    <xf numFmtId="165" fontId="27" fillId="0" borderId="26" xfId="7" applyNumberFormat="1" applyFont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/>
    </xf>
    <xf numFmtId="0" fontId="27" fillId="2" borderId="4" xfId="13" applyFont="1" applyFill="1" applyBorder="1" applyAlignment="1">
      <alignment horizontal="center" vertical="center" wrapText="1"/>
    </xf>
    <xf numFmtId="0" fontId="29" fillId="2" borderId="23" xfId="13" applyFon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0" fontId="29" fillId="2" borderId="30" xfId="0" applyFont="1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/>
    </xf>
    <xf numFmtId="0" fontId="23" fillId="4" borderId="4" xfId="0" applyFont="1" applyFill="1" applyBorder="1" applyAlignment="1">
      <alignment vertical="center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22" xfId="0" applyNumberFormat="1" applyFont="1" applyFill="1" applyBorder="1" applyAlignment="1">
      <alignment horizontal="center" vertical="center"/>
    </xf>
    <xf numFmtId="165" fontId="23" fillId="4" borderId="22" xfId="0" applyNumberFormat="1" applyFont="1" applyFill="1" applyBorder="1" applyAlignment="1">
      <alignment horizontal="center" vertical="center"/>
    </xf>
    <xf numFmtId="165" fontId="22" fillId="0" borderId="22" xfId="1" applyNumberFormat="1" applyFont="1" applyFill="1" applyBorder="1" applyAlignment="1">
      <alignment horizontal="center" vertical="center"/>
    </xf>
    <xf numFmtId="165" fontId="23" fillId="5" borderId="26" xfId="0" applyNumberFormat="1" applyFont="1" applyFill="1" applyBorder="1" applyAlignment="1">
      <alignment horizontal="center" vertical="center"/>
    </xf>
    <xf numFmtId="165" fontId="0" fillId="2" borderId="20" xfId="0" applyNumberForma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22" xfId="0" applyNumberFormat="1" applyFont="1" applyFill="1" applyBorder="1" applyAlignment="1">
      <alignment horizontal="center" vertical="center" wrapText="1"/>
    </xf>
    <xf numFmtId="165" fontId="27" fillId="2" borderId="4" xfId="13" applyNumberFormat="1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165" fontId="27" fillId="2" borderId="4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1" fontId="29" fillId="2" borderId="5" xfId="0" applyNumberFormat="1" applyFont="1" applyFill="1" applyBorder="1" applyAlignment="1">
      <alignment horizontal="center" vertical="center" shrinkToFit="1"/>
    </xf>
    <xf numFmtId="165" fontId="27" fillId="2" borderId="5" xfId="7" applyNumberFormat="1" applyFont="1" applyFill="1" applyBorder="1" applyAlignment="1">
      <alignment horizontal="center" vertical="center"/>
    </xf>
    <xf numFmtId="165" fontId="27" fillId="2" borderId="4" xfId="0" applyNumberFormat="1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vertical="center"/>
    </xf>
    <xf numFmtId="165" fontId="27" fillId="2" borderId="22" xfId="7" applyNumberFormat="1" applyFont="1" applyFill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165" fontId="27" fillId="2" borderId="25" xfId="7" applyNumberFormat="1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 wrapText="1"/>
    </xf>
    <xf numFmtId="0" fontId="34" fillId="5" borderId="0" xfId="0" applyFont="1" applyFill="1" applyBorder="1" applyAlignment="1">
      <alignment horizontal="center" vertical="center" wrapText="1"/>
    </xf>
    <xf numFmtId="0" fontId="23" fillId="4" borderId="23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/>
    </xf>
    <xf numFmtId="0" fontId="23" fillId="4" borderId="22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 wrapText="1"/>
    </xf>
    <xf numFmtId="0" fontId="23" fillId="4" borderId="22" xfId="5" applyFont="1" applyFill="1" applyBorder="1" applyAlignment="1">
      <alignment vertical="center" wrapText="1"/>
    </xf>
    <xf numFmtId="0" fontId="23" fillId="2" borderId="23" xfId="5" applyFont="1" applyFill="1" applyBorder="1" applyAlignment="1">
      <alignment vertical="center"/>
    </xf>
    <xf numFmtId="0" fontId="23" fillId="2" borderId="4" xfId="5" applyFont="1" applyFill="1" applyBorder="1" applyAlignment="1">
      <alignment vertical="center"/>
    </xf>
    <xf numFmtId="0" fontId="23" fillId="2" borderId="22" xfId="5" applyFont="1" applyFill="1" applyBorder="1" applyAlignment="1">
      <alignment vertical="center"/>
    </xf>
    <xf numFmtId="0" fontId="27" fillId="2" borderId="4" xfId="13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28" fillId="5" borderId="4" xfId="0" applyFont="1" applyFill="1" applyBorder="1" applyAlignment="1">
      <alignment horizontal="center" vertical="center" wrapText="1"/>
    </xf>
    <xf numFmtId="0" fontId="32" fillId="4" borderId="22" xfId="0" applyFont="1" applyFill="1" applyBorder="1" applyAlignment="1">
      <alignment horizontal="left" vertical="center" wrapText="1"/>
    </xf>
    <xf numFmtId="10" fontId="23" fillId="2" borderId="22" xfId="2" applyNumberFormat="1" applyFont="1" applyFill="1" applyBorder="1" applyAlignment="1">
      <alignment vertical="center"/>
    </xf>
    <xf numFmtId="0" fontId="23" fillId="8" borderId="4" xfId="5" applyFont="1" applyFill="1" applyBorder="1" applyAlignment="1">
      <alignment vertical="center"/>
    </xf>
    <xf numFmtId="0" fontId="23" fillId="8" borderId="22" xfId="5" applyFont="1" applyFill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165" fontId="22" fillId="2" borderId="22" xfId="5" applyNumberFormat="1" applyFont="1" applyFill="1" applyBorder="1" applyAlignment="1">
      <alignment horizontal="center" vertical="center"/>
    </xf>
    <xf numFmtId="165" fontId="23" fillId="9" borderId="22" xfId="5" applyNumberFormat="1" applyFont="1" applyFill="1" applyBorder="1" applyAlignment="1">
      <alignment horizontal="center" vertical="center" wrapText="1"/>
    </xf>
    <xf numFmtId="10" fontId="23" fillId="2" borderId="22" xfId="2" applyNumberFormat="1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4" borderId="23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8" borderId="4" xfId="5" applyFont="1" applyFill="1" applyBorder="1" applyAlignment="1">
      <alignment horizontal="center" vertical="center"/>
    </xf>
    <xf numFmtId="0" fontId="23" fillId="0" borderId="23" xfId="5" applyFont="1" applyBorder="1" applyAlignment="1">
      <alignment horizontal="center" vertical="center" wrapText="1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2" borderId="4" xfId="5" applyFont="1" applyFill="1" applyBorder="1" applyAlignment="1">
      <alignment horizontal="left" vertical="center" wrapText="1"/>
    </xf>
    <xf numFmtId="0" fontId="31" fillId="4" borderId="4" xfId="5" applyFont="1" applyFill="1" applyBorder="1" applyAlignment="1">
      <alignment horizontal="center" vertical="center" wrapText="1"/>
    </xf>
    <xf numFmtId="0" fontId="23" fillId="2" borderId="23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3" fillId="8" borderId="22" xfId="5" applyFont="1" applyFill="1" applyBorder="1" applyAlignment="1">
      <alignment horizontal="center" vertical="center"/>
    </xf>
    <xf numFmtId="0" fontId="23" fillId="4" borderId="22" xfId="5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0" fontId="26" fillId="2" borderId="4" xfId="5" applyFont="1" applyFill="1" applyBorder="1" applyAlignment="1">
      <alignment vertical="center" wrapText="1"/>
    </xf>
    <xf numFmtId="0" fontId="26" fillId="2" borderId="23" xfId="5" applyFont="1" applyFill="1" applyBorder="1" applyAlignment="1">
      <alignment vertical="center" wrapText="1"/>
    </xf>
    <xf numFmtId="0" fontId="26" fillId="2" borderId="22" xfId="5" applyFont="1" applyFill="1" applyBorder="1" applyAlignment="1">
      <alignment vertical="center" wrapText="1"/>
    </xf>
    <xf numFmtId="0" fontId="23" fillId="4" borderId="23" xfId="5" applyFont="1" applyFill="1" applyBorder="1" applyAlignment="1">
      <alignment vertical="center" wrapText="1"/>
    </xf>
    <xf numFmtId="4" fontId="23" fillId="2" borderId="22" xfId="0" applyNumberFormat="1" applyFont="1" applyFill="1" applyBorder="1" applyAlignment="1">
      <alignment horizontal="center" vertical="center"/>
    </xf>
    <xf numFmtId="165" fontId="33" fillId="0" borderId="0" xfId="12" applyNumberFormat="1" applyAlignment="1">
      <alignment horizontal="left" vertical="top"/>
    </xf>
    <xf numFmtId="165" fontId="28" fillId="7" borderId="14" xfId="12" applyNumberFormat="1" applyFont="1" applyFill="1" applyBorder="1" applyAlignment="1">
      <alignment horizontal="center" vertical="center" wrapText="1"/>
    </xf>
    <xf numFmtId="165" fontId="23" fillId="5" borderId="5" xfId="0" applyNumberFormat="1" applyFont="1" applyFill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165" fontId="28" fillId="5" borderId="4" xfId="0" applyNumberFormat="1" applyFont="1" applyFill="1" applyBorder="1" applyAlignment="1">
      <alignment horizontal="center" vertical="center"/>
    </xf>
    <xf numFmtId="165" fontId="28" fillId="5" borderId="22" xfId="0" applyNumberFormat="1" applyFont="1" applyFill="1" applyBorder="1" applyAlignment="1">
      <alignment horizontal="center" vertical="center"/>
    </xf>
    <xf numFmtId="165" fontId="2" fillId="7" borderId="15" xfId="0" applyNumberFormat="1" applyFont="1" applyFill="1" applyBorder="1" applyAlignment="1">
      <alignment horizontal="center"/>
    </xf>
    <xf numFmtId="165" fontId="27" fillId="2" borderId="0" xfId="0" applyNumberFormat="1" applyFont="1" applyFill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165" fontId="23" fillId="2" borderId="4" xfId="5" applyNumberFormat="1" applyFont="1" applyFill="1" applyBorder="1" applyAlignment="1">
      <alignment horizontal="center" vertical="center"/>
    </xf>
    <xf numFmtId="165" fontId="23" fillId="2" borderId="4" xfId="0" quotePrefix="1" applyNumberFormat="1" applyFont="1" applyFill="1" applyBorder="1" applyAlignment="1">
      <alignment horizontal="center" vertical="center"/>
    </xf>
    <xf numFmtId="165" fontId="34" fillId="7" borderId="14" xfId="13" applyNumberFormat="1" applyFont="1" applyFill="1" applyBorder="1" applyAlignment="1">
      <alignment horizontal="center" vertical="center"/>
    </xf>
    <xf numFmtId="0" fontId="34" fillId="5" borderId="4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34" fillId="5" borderId="5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7" fillId="2" borderId="37" xfId="13" applyFont="1" applyFill="1" applyBorder="1" applyAlignment="1">
      <alignment horizontal="center" vertical="center" wrapText="1"/>
    </xf>
    <xf numFmtId="0" fontId="27" fillId="2" borderId="33" xfId="13" applyFont="1" applyFill="1" applyBorder="1" applyAlignment="1">
      <alignment horizontal="left" vertical="center" wrapText="1"/>
    </xf>
    <xf numFmtId="0" fontId="29" fillId="2" borderId="33" xfId="0" applyFont="1" applyFill="1" applyBorder="1" applyAlignment="1">
      <alignment horizontal="center" vertical="center" wrapText="1"/>
    </xf>
    <xf numFmtId="165" fontId="1" fillId="2" borderId="33" xfId="0" applyNumberFormat="1" applyFont="1" applyFill="1" applyBorder="1" applyAlignment="1">
      <alignment horizontal="center" vertical="center" wrapText="1"/>
    </xf>
    <xf numFmtId="165" fontId="1" fillId="2" borderId="35" xfId="0" applyNumberFormat="1" applyFont="1" applyFill="1" applyBorder="1" applyAlignment="1">
      <alignment horizontal="center" vertical="center" wrapText="1"/>
    </xf>
    <xf numFmtId="0" fontId="29" fillId="0" borderId="38" xfId="12" applyFont="1" applyBorder="1" applyAlignment="1">
      <alignment horizontal="center" vertical="center"/>
    </xf>
    <xf numFmtId="0" fontId="27" fillId="0" borderId="11" xfId="12" applyFont="1" applyBorder="1" applyAlignment="1">
      <alignment horizontal="left" vertical="center" wrapText="1"/>
    </xf>
    <xf numFmtId="0" fontId="29" fillId="0" borderId="11" xfId="12" applyFont="1" applyBorder="1" applyAlignment="1">
      <alignment horizontal="center" vertical="center" wrapText="1"/>
    </xf>
    <xf numFmtId="165" fontId="29" fillId="0" borderId="11" xfId="12" applyNumberFormat="1" applyFont="1" applyBorder="1" applyAlignment="1">
      <alignment horizontal="center" vertical="center" wrapText="1"/>
    </xf>
    <xf numFmtId="165" fontId="29" fillId="0" borderId="26" xfId="12" applyNumberFormat="1" applyFont="1" applyBorder="1" applyAlignment="1">
      <alignment horizontal="center" vertical="center" wrapText="1"/>
    </xf>
    <xf numFmtId="165" fontId="28" fillId="5" borderId="14" xfId="7" applyNumberFormat="1" applyFont="1" applyFill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37" fillId="0" borderId="33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vertical="center"/>
    </xf>
    <xf numFmtId="1" fontId="29" fillId="0" borderId="33" xfId="0" applyNumberFormat="1" applyFont="1" applyBorder="1" applyAlignment="1">
      <alignment horizontal="center" vertical="center" shrinkToFit="1"/>
    </xf>
    <xf numFmtId="165" fontId="27" fillId="0" borderId="33" xfId="7" applyNumberFormat="1" applyFont="1" applyBorder="1" applyAlignment="1">
      <alignment horizontal="center" vertical="center"/>
    </xf>
    <xf numFmtId="165" fontId="27" fillId="0" borderId="35" xfId="7" applyNumberFormat="1" applyFont="1" applyBorder="1" applyAlignment="1">
      <alignment horizontal="center" vertical="center"/>
    </xf>
    <xf numFmtId="0" fontId="27" fillId="2" borderId="37" xfId="0" applyFont="1" applyFill="1" applyBorder="1" applyAlignment="1">
      <alignment horizontal="center" vertical="center" wrapText="1"/>
    </xf>
    <xf numFmtId="0" fontId="36" fillId="0" borderId="33" xfId="0" applyFont="1" applyBorder="1" applyAlignment="1">
      <alignment horizontal="left" vertical="center" wrapText="1"/>
    </xf>
    <xf numFmtId="0" fontId="28" fillId="5" borderId="44" xfId="0" applyFont="1" applyFill="1" applyBorder="1" applyAlignment="1">
      <alignment horizontal="center" vertical="center" wrapText="1"/>
    </xf>
    <xf numFmtId="0" fontId="28" fillId="5" borderId="48" xfId="0" applyFont="1" applyFill="1" applyBorder="1" applyAlignment="1">
      <alignment horizontal="center" vertical="center" wrapText="1"/>
    </xf>
    <xf numFmtId="0" fontId="28" fillId="5" borderId="49" xfId="0" applyFont="1" applyFill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/>
    </xf>
    <xf numFmtId="0" fontId="37" fillId="0" borderId="5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 shrinkToFit="1"/>
    </xf>
    <xf numFmtId="165" fontId="27" fillId="0" borderId="5" xfId="7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165" fontId="27" fillId="0" borderId="30" xfId="7" applyNumberFormat="1" applyFont="1" applyBorder="1" applyAlignment="1">
      <alignment horizontal="center" vertical="center"/>
    </xf>
    <xf numFmtId="165" fontId="27" fillId="0" borderId="20" xfId="7" applyNumberFormat="1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37" fillId="0" borderId="30" xfId="0" applyFont="1" applyBorder="1" applyAlignment="1">
      <alignment horizontal="left" vertical="center" wrapText="1"/>
    </xf>
    <xf numFmtId="0" fontId="29" fillId="0" borderId="30" xfId="0" applyNumberFormat="1" applyFont="1" applyBorder="1" applyAlignment="1">
      <alignment horizontal="center" vertical="center" shrinkToFit="1"/>
    </xf>
    <xf numFmtId="0" fontId="28" fillId="5" borderId="6" xfId="0" applyFont="1" applyFill="1" applyBorder="1" applyAlignment="1">
      <alignment horizontal="center" vertical="center" wrapText="1"/>
    </xf>
    <xf numFmtId="0" fontId="28" fillId="5" borderId="31" xfId="0" applyFont="1" applyFill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8" fillId="5" borderId="17" xfId="12" applyFont="1" applyFill="1" applyBorder="1" applyAlignment="1">
      <alignment horizontal="center" vertical="center" wrapText="1"/>
    </xf>
    <xf numFmtId="0" fontId="28" fillId="5" borderId="41" xfId="12" applyFont="1" applyFill="1" applyBorder="1" applyAlignment="1">
      <alignment horizontal="center" vertical="center" wrapText="1"/>
    </xf>
    <xf numFmtId="0" fontId="28" fillId="5" borderId="16" xfId="12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34" fillId="7" borderId="27" xfId="13" applyFont="1" applyFill="1" applyBorder="1" applyAlignment="1">
      <alignment horizontal="center" vertical="center"/>
    </xf>
    <xf numFmtId="0" fontId="34" fillId="7" borderId="28" xfId="13" applyFont="1" applyFill="1" applyBorder="1" applyAlignment="1">
      <alignment horizontal="center" vertical="center"/>
    </xf>
    <xf numFmtId="0" fontId="34" fillId="7" borderId="29" xfId="13" applyFont="1" applyFill="1" applyBorder="1" applyAlignment="1">
      <alignment horizontal="center" vertical="center"/>
    </xf>
    <xf numFmtId="0" fontId="34" fillId="5" borderId="17" xfId="13" applyFont="1" applyFill="1" applyBorder="1" applyAlignment="1">
      <alignment horizontal="center" vertical="center"/>
    </xf>
    <xf numFmtId="0" fontId="34" fillId="5" borderId="41" xfId="13" applyFont="1" applyFill="1" applyBorder="1" applyAlignment="1">
      <alignment horizontal="center" vertical="center"/>
    </xf>
    <xf numFmtId="0" fontId="33" fillId="0" borderId="0" xfId="12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8" fillId="7" borderId="27" xfId="0" applyFont="1" applyFill="1" applyBorder="1" applyAlignment="1">
      <alignment horizontal="center" vertical="center" wrapText="1"/>
    </xf>
    <xf numFmtId="0" fontId="28" fillId="7" borderId="28" xfId="0" applyFont="1" applyFill="1" applyBorder="1" applyAlignment="1">
      <alignment horizontal="center" vertical="center" wrapText="1"/>
    </xf>
    <xf numFmtId="0" fontId="28" fillId="7" borderId="29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6" borderId="23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4" borderId="23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31" fillId="4" borderId="4" xfId="5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/>
    </xf>
    <xf numFmtId="0" fontId="23" fillId="5" borderId="38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23" xfId="5" applyFont="1" applyBorder="1" applyAlignment="1">
      <alignment horizontal="center" vertical="center" wrapText="1"/>
    </xf>
    <xf numFmtId="0" fontId="23" fillId="3" borderId="23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center" vertical="center" wrapText="1"/>
    </xf>
    <xf numFmtId="0" fontId="23" fillId="4" borderId="23" xfId="5" applyFont="1" applyFill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3" fillId="6" borderId="37" xfId="0" applyFont="1" applyFill="1" applyBorder="1" applyAlignment="1">
      <alignment horizontal="center" vertical="center"/>
    </xf>
    <xf numFmtId="0" fontId="23" fillId="6" borderId="33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4" borderId="23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2" xfId="3" applyFont="1" applyFill="1" applyBorder="1" applyAlignment="1">
      <alignment horizontal="center" vertical="center" wrapText="1"/>
    </xf>
    <xf numFmtId="0" fontId="23" fillId="2" borderId="23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 wrapText="1"/>
    </xf>
    <xf numFmtId="0" fontId="23" fillId="2" borderId="22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center" wrapText="1"/>
    </xf>
    <xf numFmtId="0" fontId="22" fillId="2" borderId="22" xfId="3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2" borderId="39" xfId="5" applyFont="1" applyFill="1" applyBorder="1" applyAlignment="1">
      <alignment horizontal="center" vertical="center" wrapText="1"/>
    </xf>
    <xf numFmtId="0" fontId="26" fillId="2" borderId="21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39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2" xfId="4" applyFont="1" applyFill="1" applyBorder="1" applyAlignment="1">
      <alignment horizontal="center" vertical="center" wrapText="1"/>
    </xf>
    <xf numFmtId="0" fontId="23" fillId="8" borderId="23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" fontId="31" fillId="0" borderId="3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4" fontId="23" fillId="0" borderId="39" xfId="0" applyNumberFormat="1" applyFont="1" applyBorder="1" applyAlignment="1">
      <alignment horizontal="center" vertical="center"/>
    </xf>
    <xf numFmtId="0" fontId="23" fillId="9" borderId="23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0" fontId="23" fillId="2" borderId="23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31" fillId="4" borderId="4" xfId="5" applyFont="1" applyFill="1" applyBorder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2" xfId="5" applyNumberFormat="1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9" xfId="4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6" fillId="2" borderId="23" xfId="5" applyFont="1" applyFill="1" applyBorder="1" applyAlignment="1">
      <alignment horizontal="center" vertical="center" wrapText="1"/>
    </xf>
    <xf numFmtId="0" fontId="26" fillId="2" borderId="4" xfId="5" applyFont="1" applyFill="1" applyBorder="1" applyAlignment="1">
      <alignment horizontal="center" vertical="center" wrapText="1"/>
    </xf>
    <xf numFmtId="0" fontId="26" fillId="2" borderId="22" xfId="5" applyFont="1" applyFill="1" applyBorder="1" applyAlignment="1">
      <alignment horizontal="center" vertical="center" wrapText="1"/>
    </xf>
    <xf numFmtId="4" fontId="31" fillId="0" borderId="4" xfId="0" applyNumberFormat="1" applyFont="1" applyBorder="1" applyAlignment="1">
      <alignment horizontal="center" vertical="center"/>
    </xf>
    <xf numFmtId="4" fontId="31" fillId="0" borderId="22" xfId="0" applyNumberFormat="1" applyFont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 wrapText="1"/>
    </xf>
    <xf numFmtId="165" fontId="31" fillId="0" borderId="4" xfId="0" applyNumberFormat="1" applyFont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3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5" borderId="46" xfId="5" applyFont="1" applyFill="1" applyBorder="1" applyAlignment="1">
      <alignment horizontal="center" vertical="center" wrapText="1"/>
    </xf>
    <xf numFmtId="0" fontId="23" fillId="5" borderId="5" xfId="5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31" fillId="7" borderId="19" xfId="0" applyFont="1" applyFill="1" applyBorder="1" applyAlignment="1">
      <alignment horizontal="center"/>
    </xf>
    <xf numFmtId="0" fontId="31" fillId="7" borderId="40" xfId="0" applyFont="1" applyFill="1" applyBorder="1" applyAlignment="1">
      <alignment horizontal="center"/>
    </xf>
    <xf numFmtId="0" fontId="31" fillId="7" borderId="1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2" fillId="5" borderId="47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8" fillId="7" borderId="6" xfId="0" applyFont="1" applyFill="1" applyBorder="1" applyAlignment="1">
      <alignment horizontal="center" vertical="center"/>
    </xf>
    <xf numFmtId="0" fontId="28" fillId="7" borderId="31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/>
    </xf>
    <xf numFmtId="0" fontId="28" fillId="7" borderId="9" xfId="0" applyFont="1" applyFill="1" applyBorder="1" applyAlignment="1">
      <alignment horizontal="center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7" fillId="2" borderId="42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43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/>
    </xf>
    <xf numFmtId="0" fontId="28" fillId="5" borderId="7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8" fillId="5" borderId="6" xfId="0" applyFont="1" applyFill="1" applyBorder="1" applyAlignment="1">
      <alignment horizontal="center" vertical="center"/>
    </xf>
    <xf numFmtId="0" fontId="28" fillId="5" borderId="31" xfId="0" applyFont="1" applyFill="1" applyBorder="1" applyAlignment="1">
      <alignment horizontal="center" vertical="center"/>
    </xf>
    <xf numFmtId="0" fontId="28" fillId="5" borderId="8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8" fillId="7" borderId="19" xfId="0" applyFont="1" applyFill="1" applyBorder="1" applyAlignment="1">
      <alignment horizontal="center" vertical="center" wrapText="1"/>
    </xf>
    <xf numFmtId="0" fontId="28" fillId="7" borderId="40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27" fillId="2" borderId="17" xfId="0" applyFont="1" applyFill="1" applyBorder="1" applyAlignment="1">
      <alignment horizontal="center" vertical="center" wrapText="1"/>
    </xf>
    <xf numFmtId="0" fontId="27" fillId="2" borderId="41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</cellXfs>
  <cellStyles count="14">
    <cellStyle name="Estilo 1" xfId="8"/>
    <cellStyle name="Hiperlink" xfId="6" builtinId="8"/>
    <cellStyle name="Moeda" xfId="1" builtinId="4"/>
    <cellStyle name="Moeda 2" xfId="11"/>
    <cellStyle name="Normal" xfId="0" builtinId="0"/>
    <cellStyle name="Normal 2" xfId="5"/>
    <cellStyle name="Normal 3" xfId="9"/>
    <cellStyle name="Normal 4" xfId="3"/>
    <cellStyle name="Normal 5" xfId="4"/>
    <cellStyle name="Normal 6" xfId="13"/>
    <cellStyle name="Normal 7" xfId="12"/>
    <cellStyle name="Porcentagem" xfId="2" builtinId="5"/>
    <cellStyle name="Vírgula" xfId="7" builtinId="3"/>
    <cellStyle name="Vírgula 2" xfId="1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53</v>
      </c>
    </row>
    <row r="2" spans="1:5" ht="21" x14ac:dyDescent="0.35">
      <c r="A2" s="325" t="s">
        <v>54</v>
      </c>
      <c r="B2" s="325"/>
      <c r="C2" s="325"/>
      <c r="E2" s="2" t="s">
        <v>55</v>
      </c>
    </row>
    <row r="3" spans="1:5" ht="174" customHeight="1" x14ac:dyDescent="0.3">
      <c r="A3" s="324" t="s">
        <v>56</v>
      </c>
      <c r="B3" s="324"/>
      <c r="C3" s="324"/>
      <c r="E3" s="4" t="s">
        <v>57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26" t="s">
        <v>58</v>
      </c>
      <c r="B5" s="327"/>
      <c r="C5" s="328"/>
      <c r="E5" s="7" t="s">
        <v>59</v>
      </c>
    </row>
    <row r="6" spans="1:5" ht="22.5" x14ac:dyDescent="0.25">
      <c r="A6" s="329" t="s">
        <v>60</v>
      </c>
      <c r="B6" s="329" t="s">
        <v>61</v>
      </c>
      <c r="C6" s="8" t="s">
        <v>62</v>
      </c>
      <c r="E6" s="7" t="s">
        <v>63</v>
      </c>
    </row>
    <row r="7" spans="1:5" ht="15.75" customHeight="1" thickBot="1" x14ac:dyDescent="0.3">
      <c r="A7" s="330"/>
      <c r="B7" s="330"/>
      <c r="C7" s="9" t="s">
        <v>64</v>
      </c>
      <c r="E7" s="7" t="s">
        <v>65</v>
      </c>
    </row>
    <row r="8" spans="1:5" ht="15.75" thickBot="1" x14ac:dyDescent="0.3">
      <c r="A8" s="10" t="s">
        <v>66</v>
      </c>
      <c r="B8" s="8">
        <v>30</v>
      </c>
      <c r="C8" s="8">
        <v>7</v>
      </c>
      <c r="D8">
        <f>(7/30)/12</f>
        <v>1.94444444444444E-2</v>
      </c>
      <c r="E8" s="11" t="s">
        <v>67</v>
      </c>
    </row>
    <row r="9" spans="1:5" ht="13.5" customHeight="1" x14ac:dyDescent="0.25">
      <c r="A9" s="12" t="s">
        <v>68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69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70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71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72</v>
      </c>
      <c r="B13" s="13">
        <v>45</v>
      </c>
      <c r="C13" s="13">
        <v>11</v>
      </c>
      <c r="D13">
        <f t="shared" si="0"/>
        <v>8.3333333333333297E-3</v>
      </c>
      <c r="E13" t="s">
        <v>94</v>
      </c>
    </row>
    <row r="14" spans="1:5" x14ac:dyDescent="0.25">
      <c r="A14" s="12" t="s">
        <v>73</v>
      </c>
      <c r="B14" s="13">
        <v>48</v>
      </c>
      <c r="C14" s="13">
        <v>11</v>
      </c>
      <c r="E14" t="s">
        <v>52</v>
      </c>
    </row>
    <row r="15" spans="1:5" x14ac:dyDescent="0.25">
      <c r="A15" s="12" t="s">
        <v>74</v>
      </c>
      <c r="B15" s="13">
        <v>51</v>
      </c>
      <c r="C15" s="13">
        <v>12</v>
      </c>
    </row>
    <row r="16" spans="1:5" x14ac:dyDescent="0.25">
      <c r="A16" s="12" t="s">
        <v>75</v>
      </c>
      <c r="B16" s="13">
        <v>54</v>
      </c>
      <c r="C16" s="13">
        <v>13</v>
      </c>
    </row>
    <row r="17" spans="1:5" x14ac:dyDescent="0.25">
      <c r="A17" s="12" t="s">
        <v>76</v>
      </c>
      <c r="B17" s="13">
        <v>57</v>
      </c>
      <c r="C17" s="13">
        <v>13</v>
      </c>
    </row>
    <row r="18" spans="1:5" x14ac:dyDescent="0.25">
      <c r="A18" s="12" t="s">
        <v>77</v>
      </c>
      <c r="B18" s="13">
        <v>60</v>
      </c>
      <c r="C18" s="13">
        <v>14</v>
      </c>
    </row>
    <row r="19" spans="1:5" x14ac:dyDescent="0.25">
      <c r="A19" s="12" t="s">
        <v>78</v>
      </c>
      <c r="B19" s="13">
        <v>63</v>
      </c>
      <c r="C19" s="13">
        <v>15</v>
      </c>
    </row>
    <row r="20" spans="1:5" x14ac:dyDescent="0.25">
      <c r="A20" s="12" t="s">
        <v>79</v>
      </c>
      <c r="B20" s="13">
        <v>66</v>
      </c>
      <c r="C20" s="13">
        <v>15</v>
      </c>
    </row>
    <row r="21" spans="1:5" x14ac:dyDescent="0.25">
      <c r="A21" s="12" t="s">
        <v>80</v>
      </c>
      <c r="B21" s="13">
        <v>69</v>
      </c>
      <c r="C21" s="13">
        <v>16</v>
      </c>
    </row>
    <row r="22" spans="1:5" x14ac:dyDescent="0.25">
      <c r="A22" s="12" t="s">
        <v>81</v>
      </c>
      <c r="B22" s="13">
        <v>72</v>
      </c>
      <c r="C22" s="13">
        <v>17</v>
      </c>
    </row>
    <row r="23" spans="1:5" x14ac:dyDescent="0.25">
      <c r="A23" s="12" t="s">
        <v>82</v>
      </c>
      <c r="B23" s="13">
        <v>75</v>
      </c>
      <c r="C23" s="13">
        <v>18</v>
      </c>
    </row>
    <row r="24" spans="1:5" x14ac:dyDescent="0.25">
      <c r="A24" s="12" t="s">
        <v>83</v>
      </c>
      <c r="B24" s="13">
        <v>78</v>
      </c>
      <c r="C24" s="13">
        <v>18</v>
      </c>
    </row>
    <row r="25" spans="1:5" x14ac:dyDescent="0.25">
      <c r="A25" s="12" t="s">
        <v>84</v>
      </c>
      <c r="B25" s="13">
        <v>81</v>
      </c>
      <c r="C25" s="13">
        <v>19</v>
      </c>
    </row>
    <row r="26" spans="1:5" x14ac:dyDescent="0.25">
      <c r="A26" s="12" t="s">
        <v>85</v>
      </c>
      <c r="B26" s="13">
        <v>84</v>
      </c>
      <c r="C26" s="13">
        <v>20</v>
      </c>
    </row>
    <row r="27" spans="1:5" x14ac:dyDescent="0.25">
      <c r="A27" s="12" t="s">
        <v>86</v>
      </c>
      <c r="B27" s="13">
        <v>87</v>
      </c>
      <c r="C27" s="13">
        <v>20</v>
      </c>
    </row>
    <row r="28" spans="1:5" ht="15.75" thickBot="1" x14ac:dyDescent="0.3">
      <c r="A28" s="16" t="s">
        <v>87</v>
      </c>
      <c r="B28" s="9">
        <v>90</v>
      </c>
      <c r="C28" s="9">
        <v>21</v>
      </c>
      <c r="E28" s="17" t="s">
        <v>88</v>
      </c>
    </row>
    <row r="29" spans="1:5" ht="18.75" x14ac:dyDescent="0.3">
      <c r="A29" s="5"/>
    </row>
    <row r="30" spans="1:5" ht="145.5" customHeight="1" x14ac:dyDescent="0.3">
      <c r="A30" s="331" t="s">
        <v>89</v>
      </c>
      <c r="B30" s="331"/>
      <c r="C30" s="331"/>
    </row>
    <row r="31" spans="1:5" ht="18.75" x14ac:dyDescent="0.3">
      <c r="A31" s="5"/>
    </row>
    <row r="32" spans="1:5" ht="18.75" x14ac:dyDescent="0.3">
      <c r="A32" s="18" t="s">
        <v>90</v>
      </c>
    </row>
    <row r="33" spans="1:3" ht="18.75" x14ac:dyDescent="0.3">
      <c r="A33" s="5"/>
    </row>
    <row r="34" spans="1:3" x14ac:dyDescent="0.25">
      <c r="A34" s="324" t="s">
        <v>91</v>
      </c>
      <c r="B34" s="324"/>
      <c r="C34" s="324"/>
    </row>
    <row r="35" spans="1:3" x14ac:dyDescent="0.25">
      <c r="A35" s="324"/>
      <c r="B35" s="324"/>
      <c r="C35" s="324"/>
    </row>
    <row r="36" spans="1:3" x14ac:dyDescent="0.25">
      <c r="A36" s="324" t="s">
        <v>92</v>
      </c>
      <c r="B36" s="324"/>
      <c r="C36" s="324"/>
    </row>
    <row r="37" spans="1:3" x14ac:dyDescent="0.25">
      <c r="A37" s="324"/>
      <c r="B37" s="324"/>
      <c r="C37" s="324"/>
    </row>
    <row r="40" spans="1:3" x14ac:dyDescent="0.25">
      <c r="A40" s="19" t="s">
        <v>93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6.7109375" style="32" customWidth="1"/>
    <col min="5" max="6" width="16.7109375" style="28" customWidth="1"/>
    <col min="7" max="7" width="30.7109375" style="28" customWidth="1"/>
    <col min="8" max="16384" width="9.140625" style="28"/>
  </cols>
  <sheetData>
    <row r="1" spans="1:7" x14ac:dyDescent="0.25">
      <c r="A1" s="391"/>
      <c r="B1" s="392"/>
      <c r="C1" s="392"/>
      <c r="D1" s="392"/>
      <c r="E1" s="392"/>
      <c r="F1" s="393"/>
    </row>
    <row r="2" spans="1:7" s="38" customFormat="1" ht="16.5" customHeight="1" x14ac:dyDescent="0.25">
      <c r="A2" s="394" t="s">
        <v>132</v>
      </c>
      <c r="B2" s="395"/>
      <c r="C2" s="395"/>
      <c r="D2" s="395"/>
      <c r="E2" s="395"/>
      <c r="F2" s="396"/>
    </row>
    <row r="3" spans="1:7" s="38" customFormat="1" x14ac:dyDescent="0.25">
      <c r="A3" s="397" t="s">
        <v>129</v>
      </c>
      <c r="B3" s="398"/>
      <c r="C3" s="398"/>
      <c r="D3" s="398"/>
      <c r="E3" s="398"/>
      <c r="F3" s="399"/>
    </row>
    <row r="4" spans="1:7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1"/>
    </row>
    <row r="5" spans="1:7" s="38" customFormat="1" ht="90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3"/>
    </row>
    <row r="6" spans="1:7" s="38" customFormat="1" ht="15.75" customHeight="1" x14ac:dyDescent="0.25">
      <c r="A6" s="40" t="s">
        <v>3</v>
      </c>
      <c r="B6" s="41" t="s">
        <v>4</v>
      </c>
      <c r="C6" s="402"/>
      <c r="D6" s="402"/>
      <c r="E6" s="402"/>
      <c r="F6" s="403"/>
      <c r="G6" s="277"/>
    </row>
    <row r="7" spans="1:7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3"/>
      <c r="G7" s="277"/>
    </row>
    <row r="8" spans="1:7" s="38" customFormat="1" x14ac:dyDescent="0.25">
      <c r="A8" s="397" t="s">
        <v>6</v>
      </c>
      <c r="B8" s="398"/>
      <c r="C8" s="398"/>
      <c r="D8" s="398"/>
      <c r="E8" s="398"/>
      <c r="F8" s="399"/>
      <c r="G8" s="277"/>
    </row>
    <row r="9" spans="1:7" s="38" customFormat="1" x14ac:dyDescent="0.25">
      <c r="A9" s="397" t="s">
        <v>7</v>
      </c>
      <c r="B9" s="398"/>
      <c r="C9" s="398"/>
      <c r="D9" s="398"/>
      <c r="E9" s="398"/>
      <c r="F9" s="399"/>
    </row>
    <row r="10" spans="1:7" s="38" customFormat="1" ht="15.75" customHeight="1" x14ac:dyDescent="0.25">
      <c r="A10" s="397" t="s">
        <v>8</v>
      </c>
      <c r="B10" s="398"/>
      <c r="C10" s="398"/>
      <c r="D10" s="398"/>
      <c r="E10" s="398"/>
      <c r="F10" s="399"/>
    </row>
    <row r="11" spans="1:7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5"/>
    </row>
    <row r="12" spans="1:7" s="38" customFormat="1" ht="75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5"/>
    </row>
    <row r="13" spans="1:7" s="38" customFormat="1" ht="30" customHeight="1" x14ac:dyDescent="0.25">
      <c r="A13" s="40">
        <v>2</v>
      </c>
      <c r="B13" s="42" t="s">
        <v>11</v>
      </c>
      <c r="C13" s="452">
        <f>(13581.68+(13581.68*10.18%)+(14964.25*8.9%)+(16296.07*6.97%))</f>
        <v>17431.95</v>
      </c>
      <c r="D13" s="452"/>
      <c r="E13" s="452"/>
      <c r="F13" s="453"/>
    </row>
    <row r="14" spans="1:7" s="38" customFormat="1" ht="15.75" customHeight="1" x14ac:dyDescent="0.25">
      <c r="A14" s="40">
        <v>3</v>
      </c>
      <c r="B14" s="42" t="s">
        <v>12</v>
      </c>
      <c r="C14" s="414" t="s">
        <v>269</v>
      </c>
      <c r="D14" s="414"/>
      <c r="E14" s="414"/>
      <c r="F14" s="415"/>
    </row>
    <row r="15" spans="1:7" s="38" customFormat="1" x14ac:dyDescent="0.25">
      <c r="A15" s="40">
        <v>4</v>
      </c>
      <c r="B15" s="43" t="s">
        <v>13</v>
      </c>
      <c r="C15" s="404"/>
      <c r="D15" s="404"/>
      <c r="E15" s="404"/>
      <c r="F15" s="405"/>
    </row>
    <row r="16" spans="1:7" s="39" customFormat="1" x14ac:dyDescent="0.25">
      <c r="A16" s="416" t="s">
        <v>14</v>
      </c>
      <c r="B16" s="417"/>
      <c r="C16" s="417"/>
      <c r="D16" s="250" t="s">
        <v>271</v>
      </c>
      <c r="E16" s="250" t="s">
        <v>271</v>
      </c>
      <c r="F16" s="261" t="s">
        <v>271</v>
      </c>
    </row>
    <row r="17" spans="1:6" s="39" customFormat="1" x14ac:dyDescent="0.25">
      <c r="A17" s="257">
        <v>1</v>
      </c>
      <c r="B17" s="374" t="s">
        <v>15</v>
      </c>
      <c r="C17" s="374"/>
      <c r="D17" s="255"/>
      <c r="E17" s="57" t="s">
        <v>10</v>
      </c>
      <c r="F17" s="58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17431.95</v>
      </c>
      <c r="E18" s="74">
        <f>C13</f>
        <v>17431.95</v>
      </c>
      <c r="F18" s="59">
        <f>C13</f>
        <v>17431.95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5"/>
      <c r="E19" s="76"/>
      <c r="F19" s="60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246</v>
      </c>
      <c r="D20" s="72">
        <f>40%*1412</f>
        <v>564.79999999999995</v>
      </c>
      <c r="E20" s="76">
        <f>40%*1412</f>
        <v>564.79999999999995</v>
      </c>
      <c r="F20" s="60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5"/>
      <c r="E21" s="76"/>
      <c r="F21" s="60"/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5"/>
      <c r="E22" s="76"/>
      <c r="F22" s="60"/>
    </row>
    <row r="23" spans="1:6" s="38" customFormat="1" x14ac:dyDescent="0.25">
      <c r="A23" s="44" t="s">
        <v>21</v>
      </c>
      <c r="B23" s="45" t="s">
        <v>138</v>
      </c>
      <c r="C23" s="48"/>
      <c r="D23" s="48"/>
      <c r="E23" s="76"/>
      <c r="F23" s="60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48"/>
      <c r="E24" s="76"/>
      <c r="F24" s="60"/>
    </row>
    <row r="25" spans="1:6" s="39" customFormat="1" ht="15.75" customHeight="1" x14ac:dyDescent="0.25">
      <c r="A25" s="368" t="s">
        <v>152</v>
      </c>
      <c r="B25" s="369"/>
      <c r="C25" s="369"/>
      <c r="D25" s="65">
        <f>SUM(D18:D24)</f>
        <v>17996.75</v>
      </c>
      <c r="E25" s="65">
        <f>SUM(E18:E24)</f>
        <v>17996.75</v>
      </c>
      <c r="F25" s="61">
        <f>SUM(F18:F24)</f>
        <v>17996.75</v>
      </c>
    </row>
    <row r="26" spans="1:6" s="39" customFormat="1" x14ac:dyDescent="0.25">
      <c r="A26" s="370" t="s">
        <v>51</v>
      </c>
      <c r="B26" s="371"/>
      <c r="C26" s="371"/>
      <c r="D26" s="198"/>
      <c r="E26" s="198"/>
      <c r="F26" s="142"/>
    </row>
    <row r="27" spans="1:6" s="38" customFormat="1" x14ac:dyDescent="0.25">
      <c r="A27" s="251">
        <v>2</v>
      </c>
      <c r="B27" s="376" t="s">
        <v>205</v>
      </c>
      <c r="C27" s="378"/>
      <c r="D27" s="68" t="s">
        <v>10</v>
      </c>
      <c r="E27" s="68" t="s">
        <v>10</v>
      </c>
      <c r="F27" s="152" t="s">
        <v>10</v>
      </c>
    </row>
    <row r="28" spans="1:6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1499.13</v>
      </c>
      <c r="E28" s="77">
        <f>(E25)*C28</f>
        <v>1499.13</v>
      </c>
      <c r="F28" s="62">
        <f>(F25)*C28</f>
        <v>1499.13</v>
      </c>
    </row>
    <row r="29" spans="1:6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1999.44</v>
      </c>
      <c r="E29" s="77">
        <f>(E25)*C29</f>
        <v>1999.44</v>
      </c>
      <c r="F29" s="62">
        <f>(F25)*C29</f>
        <v>1999.44</v>
      </c>
    </row>
    <row r="30" spans="1:6" x14ac:dyDescent="0.25">
      <c r="A30" s="366" t="s">
        <v>27</v>
      </c>
      <c r="B30" s="367"/>
      <c r="C30" s="91">
        <f>SUM(C28:C29)</f>
        <v>0.19439999999999999</v>
      </c>
      <c r="D30" s="79">
        <f>SUM(D28:D29)</f>
        <v>3498.57</v>
      </c>
      <c r="E30" s="79">
        <f>SUM(E28:E29)</f>
        <v>3498.57</v>
      </c>
      <c r="F30" s="63">
        <f>SUM(F28:F29)</f>
        <v>3498.57</v>
      </c>
    </row>
    <row r="31" spans="1:6" ht="32.25" customHeight="1" x14ac:dyDescent="0.25">
      <c r="A31" s="444" t="s">
        <v>206</v>
      </c>
      <c r="B31" s="445"/>
      <c r="C31" s="445"/>
      <c r="D31" s="445"/>
      <c r="E31" s="445"/>
      <c r="F31" s="446"/>
    </row>
    <row r="32" spans="1:6" x14ac:dyDescent="0.25">
      <c r="A32" s="246" t="s">
        <v>215</v>
      </c>
      <c r="B32" s="428" t="s">
        <v>25</v>
      </c>
      <c r="C32" s="429"/>
      <c r="D32" s="69" t="s">
        <v>10</v>
      </c>
      <c r="E32" s="69" t="s">
        <v>10</v>
      </c>
      <c r="F32" s="151" t="s">
        <v>10</v>
      </c>
    </row>
    <row r="33" spans="1:6" x14ac:dyDescent="0.25">
      <c r="A33" s="49" t="s">
        <v>0</v>
      </c>
      <c r="B33" s="80" t="s">
        <v>207</v>
      </c>
      <c r="C33" s="55">
        <v>0.2</v>
      </c>
      <c r="D33" s="77">
        <f>(D25+D30)*C33</f>
        <v>4299.0600000000004</v>
      </c>
      <c r="E33" s="77">
        <f>(E25+E30)*C33</f>
        <v>4299.0600000000004</v>
      </c>
      <c r="F33" s="62">
        <f>(F25+F30)*C33</f>
        <v>4299.0600000000004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322.43</v>
      </c>
      <c r="E34" s="77">
        <f>(E25+E30)*C34</f>
        <v>322.43</v>
      </c>
      <c r="F34" s="62">
        <f>(F25+F30)*C34</f>
        <v>322.43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>(D25+D30)*C35</f>
        <v>214.95</v>
      </c>
      <c r="E35" s="77">
        <f>(E25+E30)*C35</f>
        <v>214.95</v>
      </c>
      <c r="F35" s="62">
        <f>(F25+F30)*C35</f>
        <v>214.95</v>
      </c>
    </row>
    <row r="36" spans="1:6" ht="31.5" x14ac:dyDescent="0.25">
      <c r="A36" s="49" t="s">
        <v>5</v>
      </c>
      <c r="B36" s="249" t="s">
        <v>210</v>
      </c>
      <c r="C36" s="81">
        <v>2E-3</v>
      </c>
      <c r="D36" s="77">
        <f>(D25+D30)*C36</f>
        <v>42.99</v>
      </c>
      <c r="E36" s="77">
        <f>(E25+E30)*C36</f>
        <v>42.99</v>
      </c>
      <c r="F36" s="62">
        <f>(F25+F30)*C36</f>
        <v>42.99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537.38</v>
      </c>
      <c r="E37" s="77">
        <f>(E25+E30)*C37</f>
        <v>537.38</v>
      </c>
      <c r="F37" s="62">
        <f>(F25+F30)*C37</f>
        <v>537.38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>(D25+D30)*C38</f>
        <v>1719.63</v>
      </c>
      <c r="E38" s="77">
        <f>(E25+E30)*C38</f>
        <v>1719.63</v>
      </c>
      <c r="F38" s="62">
        <f>(F25+F30)*C38</f>
        <v>1719.63</v>
      </c>
    </row>
    <row r="39" spans="1:6" ht="30.75" customHeight="1" x14ac:dyDescent="0.25">
      <c r="A39" s="49" t="s">
        <v>22</v>
      </c>
      <c r="B39" s="249" t="s">
        <v>213</v>
      </c>
      <c r="C39" s="81">
        <v>0.03</v>
      </c>
      <c r="D39" s="77">
        <f>(D25+D30)*C39</f>
        <v>644.86</v>
      </c>
      <c r="E39" s="77">
        <f>(E25+E30)*C39</f>
        <v>644.86</v>
      </c>
      <c r="F39" s="62">
        <f>(F25+F30)*C39</f>
        <v>644.86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128.97</v>
      </c>
      <c r="E40" s="77">
        <f>(E25+E30)*C40</f>
        <v>128.97</v>
      </c>
      <c r="F40" s="62">
        <f>(F25+F30)*C40</f>
        <v>128.97</v>
      </c>
    </row>
    <row r="41" spans="1:6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7910.27</v>
      </c>
      <c r="E41" s="79">
        <f>SUM(E33:E40)</f>
        <v>7910.27</v>
      </c>
      <c r="F41" s="63">
        <f>SUM(F33:F40)</f>
        <v>7910.27</v>
      </c>
    </row>
    <row r="42" spans="1:6" s="30" customFormat="1" x14ac:dyDescent="0.25">
      <c r="A42" s="73" t="s">
        <v>216</v>
      </c>
      <c r="B42" s="430" t="s">
        <v>217</v>
      </c>
      <c r="C42" s="431"/>
      <c r="D42" s="104" t="s">
        <v>10</v>
      </c>
      <c r="E42" s="104" t="s">
        <v>10</v>
      </c>
      <c r="F42" s="164" t="s">
        <v>10</v>
      </c>
    </row>
    <row r="43" spans="1:6" s="30" customFormat="1" x14ac:dyDescent="0.25">
      <c r="A43" s="90" t="s">
        <v>0</v>
      </c>
      <c r="B43" s="53" t="s">
        <v>144</v>
      </c>
      <c r="C43" s="105"/>
      <c r="D43" s="76">
        <v>0</v>
      </c>
      <c r="E43" s="76">
        <v>0</v>
      </c>
      <c r="F43" s="60">
        <v>0</v>
      </c>
    </row>
    <row r="44" spans="1:6" s="30" customFormat="1" x14ac:dyDescent="0.25">
      <c r="A44" s="47" t="s">
        <v>2</v>
      </c>
      <c r="B44" s="46" t="s">
        <v>218</v>
      </c>
      <c r="C44" s="72"/>
      <c r="D44" s="74">
        <v>0</v>
      </c>
      <c r="E44" s="74">
        <v>0</v>
      </c>
      <c r="F44" s="59">
        <v>0</v>
      </c>
    </row>
    <row r="45" spans="1:6" s="30" customFormat="1" x14ac:dyDescent="0.25">
      <c r="A45" s="49" t="s">
        <v>5</v>
      </c>
      <c r="B45" s="50" t="s">
        <v>134</v>
      </c>
      <c r="C45" s="83"/>
      <c r="D45" s="84">
        <v>0</v>
      </c>
      <c r="E45" s="84">
        <v>0</v>
      </c>
      <c r="F45" s="165">
        <v>0</v>
      </c>
    </row>
    <row r="46" spans="1:6" s="30" customFormat="1" x14ac:dyDescent="0.25">
      <c r="A46" s="49" t="s">
        <v>20</v>
      </c>
      <c r="B46" s="50" t="s">
        <v>135</v>
      </c>
      <c r="C46" s="55"/>
      <c r="D46" s="84">
        <v>0</v>
      </c>
      <c r="E46" s="84">
        <v>0</v>
      </c>
      <c r="F46" s="165">
        <v>0</v>
      </c>
    </row>
    <row r="47" spans="1:6" s="30" customFormat="1" x14ac:dyDescent="0.25">
      <c r="A47" s="49" t="s">
        <v>21</v>
      </c>
      <c r="B47" s="50" t="s">
        <v>136</v>
      </c>
      <c r="C47" s="83"/>
      <c r="D47" s="77">
        <v>0</v>
      </c>
      <c r="E47" s="77">
        <v>0</v>
      </c>
      <c r="F47" s="62">
        <v>0</v>
      </c>
    </row>
    <row r="48" spans="1:6" s="30" customFormat="1" ht="15.75" customHeight="1" x14ac:dyDescent="0.25">
      <c r="A48" s="366" t="s">
        <v>23</v>
      </c>
      <c r="B48" s="367"/>
      <c r="C48" s="367"/>
      <c r="D48" s="79">
        <f>SUM(D43:D47)</f>
        <v>0</v>
      </c>
      <c r="E48" s="79">
        <f>SUM(E43:E47)</f>
        <v>0</v>
      </c>
      <c r="F48" s="63">
        <f>SUM(F43:F47)</f>
        <v>0</v>
      </c>
    </row>
    <row r="49" spans="1:6" s="30" customFormat="1" ht="15.75" customHeight="1" x14ac:dyDescent="0.25">
      <c r="A49" s="370" t="s">
        <v>151</v>
      </c>
      <c r="B49" s="371"/>
      <c r="C49" s="371"/>
      <c r="D49" s="226"/>
      <c r="E49" s="226"/>
      <c r="F49" s="227"/>
    </row>
    <row r="50" spans="1:6" s="30" customFormat="1" ht="15.75" customHeight="1" x14ac:dyDescent="0.25">
      <c r="A50" s="257" t="s">
        <v>141</v>
      </c>
      <c r="B50" s="96" t="s">
        <v>145</v>
      </c>
      <c r="C50" s="258"/>
      <c r="D50" s="64">
        <f>D30</f>
        <v>3498.57</v>
      </c>
      <c r="E50" s="64">
        <f>E30</f>
        <v>3498.57</v>
      </c>
      <c r="F50" s="167">
        <f>F30</f>
        <v>3498.57</v>
      </c>
    </row>
    <row r="51" spans="1:6" s="30" customFormat="1" ht="15.75" customHeight="1" x14ac:dyDescent="0.25">
      <c r="A51" s="257" t="s">
        <v>215</v>
      </c>
      <c r="B51" s="96" t="s">
        <v>146</v>
      </c>
      <c r="C51" s="258"/>
      <c r="D51" s="64">
        <f>D41</f>
        <v>7910.27</v>
      </c>
      <c r="E51" s="64">
        <f>E41</f>
        <v>7910.27</v>
      </c>
      <c r="F51" s="167">
        <f>F41</f>
        <v>7910.27</v>
      </c>
    </row>
    <row r="52" spans="1:6" s="30" customFormat="1" ht="15.75" customHeight="1" x14ac:dyDescent="0.25">
      <c r="A52" s="257" t="s">
        <v>216</v>
      </c>
      <c r="B52" s="96" t="s">
        <v>147</v>
      </c>
      <c r="C52" s="258"/>
      <c r="D52" s="64">
        <f>D48</f>
        <v>0</v>
      </c>
      <c r="E52" s="64">
        <f>E48</f>
        <v>0</v>
      </c>
      <c r="F52" s="167">
        <f>F48</f>
        <v>0</v>
      </c>
    </row>
    <row r="53" spans="1:6" s="30" customFormat="1" ht="15.75" customHeight="1" x14ac:dyDescent="0.25">
      <c r="A53" s="368" t="s">
        <v>153</v>
      </c>
      <c r="B53" s="369"/>
      <c r="C53" s="369"/>
      <c r="D53" s="65">
        <f>SUM(D50:D52)</f>
        <v>11408.84</v>
      </c>
      <c r="E53" s="65">
        <f>SUM(E50:E52)</f>
        <v>11408.84</v>
      </c>
      <c r="F53" s="61">
        <f>SUM(F50:F52)</f>
        <v>11408.84</v>
      </c>
    </row>
    <row r="54" spans="1:6" s="30" customFormat="1" ht="15.75" customHeight="1" x14ac:dyDescent="0.25">
      <c r="A54" s="370" t="s">
        <v>162</v>
      </c>
      <c r="B54" s="371"/>
      <c r="C54" s="371"/>
      <c r="D54" s="226"/>
      <c r="E54" s="226"/>
      <c r="F54" s="227"/>
    </row>
    <row r="55" spans="1:6" s="30" customFormat="1" ht="15.75" customHeight="1" x14ac:dyDescent="0.25">
      <c r="A55" s="251" t="s">
        <v>200</v>
      </c>
      <c r="B55" s="376" t="s">
        <v>32</v>
      </c>
      <c r="C55" s="377"/>
      <c r="D55" s="68" t="s">
        <v>10</v>
      </c>
      <c r="E55" s="68" t="s">
        <v>10</v>
      </c>
      <c r="F55" s="152" t="s">
        <v>10</v>
      </c>
    </row>
    <row r="56" spans="1:6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7">
        <f>D$25*C56</f>
        <v>82.79</v>
      </c>
      <c r="E56" s="77">
        <f>E$25*C56</f>
        <v>82.79</v>
      </c>
      <c r="F56" s="62">
        <f>F$25*C56</f>
        <v>82.79</v>
      </c>
    </row>
    <row r="57" spans="1:6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7">
        <f>D$25*C57</f>
        <v>7.2</v>
      </c>
      <c r="E57" s="77">
        <f>E$25*C57</f>
        <v>7.2</v>
      </c>
      <c r="F57" s="62">
        <f>F$25*C57</f>
        <v>7.2</v>
      </c>
    </row>
    <row r="58" spans="1:6" s="30" customFormat="1" ht="15.75" customHeight="1" x14ac:dyDescent="0.25">
      <c r="A58" s="49" t="s">
        <v>3</v>
      </c>
      <c r="B58" s="50" t="s">
        <v>35</v>
      </c>
      <c r="C58" s="55">
        <v>1.9400000000000001E-2</v>
      </c>
      <c r="D58" s="77">
        <f>D$25*C58</f>
        <v>349.14</v>
      </c>
      <c r="E58" s="77">
        <f>E$25*C58</f>
        <v>349.14</v>
      </c>
      <c r="F58" s="62">
        <f>F$25*C58</f>
        <v>349.14</v>
      </c>
    </row>
    <row r="59" spans="1:6" s="30" customFormat="1" ht="15.75" customHeight="1" x14ac:dyDescent="0.25">
      <c r="A59" s="49" t="s">
        <v>5</v>
      </c>
      <c r="B59" s="97" t="s">
        <v>174</v>
      </c>
      <c r="C59" s="55">
        <v>7.1000000000000004E-3</v>
      </c>
      <c r="D59" s="77">
        <f>D$25*C59</f>
        <v>127.78</v>
      </c>
      <c r="E59" s="77">
        <f>E$25*C59</f>
        <v>127.78</v>
      </c>
      <c r="F59" s="62">
        <f>F$25*C59</f>
        <v>127.78</v>
      </c>
    </row>
    <row r="60" spans="1:6" s="30" customFormat="1" ht="32.25" customHeight="1" x14ac:dyDescent="0.25">
      <c r="A60" s="49" t="s">
        <v>20</v>
      </c>
      <c r="B60" s="50" t="s">
        <v>219</v>
      </c>
      <c r="C60" s="55">
        <v>0.04</v>
      </c>
      <c r="D60" s="77">
        <f>D$25*C60</f>
        <v>719.87</v>
      </c>
      <c r="E60" s="77">
        <f>E$25*C60</f>
        <v>719.87</v>
      </c>
      <c r="F60" s="62">
        <f>F$25*C60</f>
        <v>719.87</v>
      </c>
    </row>
    <row r="61" spans="1:6" s="30" customFormat="1" x14ac:dyDescent="0.25">
      <c r="A61" s="368" t="s">
        <v>154</v>
      </c>
      <c r="B61" s="369"/>
      <c r="C61" s="369"/>
      <c r="D61" s="65">
        <f>SUM(D56:D60)</f>
        <v>1286.78</v>
      </c>
      <c r="E61" s="65">
        <f>SUM(E56:E60)</f>
        <v>1286.78</v>
      </c>
      <c r="F61" s="61">
        <f>SUM(F56:F60)</f>
        <v>1286.78</v>
      </c>
    </row>
    <row r="62" spans="1:6" s="30" customFormat="1" x14ac:dyDescent="0.25">
      <c r="A62" s="370" t="s">
        <v>163</v>
      </c>
      <c r="B62" s="371"/>
      <c r="C62" s="371"/>
      <c r="D62" s="226"/>
      <c r="E62" s="226"/>
      <c r="F62" s="227"/>
    </row>
    <row r="63" spans="1:6" s="30" customFormat="1" x14ac:dyDescent="0.25">
      <c r="A63" s="251" t="s">
        <v>199</v>
      </c>
      <c r="B63" s="380" t="s">
        <v>36</v>
      </c>
      <c r="C63" s="380"/>
      <c r="D63" s="68" t="s">
        <v>10</v>
      </c>
      <c r="E63" s="68" t="s">
        <v>10</v>
      </c>
      <c r="F63" s="152" t="s">
        <v>10</v>
      </c>
    </row>
    <row r="64" spans="1:6" s="30" customFormat="1" x14ac:dyDescent="0.25">
      <c r="A64" s="49" t="s">
        <v>0</v>
      </c>
      <c r="B64" s="50" t="s">
        <v>192</v>
      </c>
      <c r="C64" s="55">
        <v>9.2999999999999992E-3</v>
      </c>
      <c r="D64" s="77">
        <f t="shared" ref="D64:D69" si="0">(D$25+D$53+D$61+D$84)*C64</f>
        <v>285.77999999999997</v>
      </c>
      <c r="E64" s="77">
        <f t="shared" ref="E64:E69" si="1">(E$25+E$53+E$61+E$84)*C64</f>
        <v>285.77999999999997</v>
      </c>
      <c r="F64" s="62">
        <f t="shared" ref="F64:F69" si="2">(F$25+F$53+F$61+F$84)*C64</f>
        <v>285.77999999999997</v>
      </c>
    </row>
    <row r="65" spans="1:6" s="30" customFormat="1" x14ac:dyDescent="0.25">
      <c r="A65" s="49" t="s">
        <v>2</v>
      </c>
      <c r="B65" s="50" t="s">
        <v>193</v>
      </c>
      <c r="C65" s="55">
        <v>1.66E-2</v>
      </c>
      <c r="D65" s="77">
        <f t="shared" si="0"/>
        <v>510.1</v>
      </c>
      <c r="E65" s="77">
        <f t="shared" si="1"/>
        <v>510.1</v>
      </c>
      <c r="F65" s="62">
        <f t="shared" si="2"/>
        <v>510.1</v>
      </c>
    </row>
    <row r="66" spans="1:6" s="30" customFormat="1" x14ac:dyDescent="0.25">
      <c r="A66" s="49" t="s">
        <v>3</v>
      </c>
      <c r="B66" s="50" t="s">
        <v>194</v>
      </c>
      <c r="C66" s="55">
        <v>2.0000000000000001E-4</v>
      </c>
      <c r="D66" s="77">
        <f t="shared" si="0"/>
        <v>6.15</v>
      </c>
      <c r="E66" s="77">
        <f t="shared" si="1"/>
        <v>6.15</v>
      </c>
      <c r="F66" s="62">
        <f t="shared" si="2"/>
        <v>6.15</v>
      </c>
    </row>
    <row r="67" spans="1:6" s="30" customFormat="1" x14ac:dyDescent="0.25">
      <c r="A67" s="49" t="s">
        <v>5</v>
      </c>
      <c r="B67" s="50" t="s">
        <v>195</v>
      </c>
      <c r="C67" s="55">
        <v>2.7000000000000001E-3</v>
      </c>
      <c r="D67" s="77">
        <f t="shared" si="0"/>
        <v>82.97</v>
      </c>
      <c r="E67" s="77">
        <f t="shared" si="1"/>
        <v>82.97</v>
      </c>
      <c r="F67" s="62">
        <f t="shared" si="2"/>
        <v>82.97</v>
      </c>
    </row>
    <row r="68" spans="1:6" s="30" customFormat="1" x14ac:dyDescent="0.25">
      <c r="A68" s="49" t="s">
        <v>20</v>
      </c>
      <c r="B68" s="50" t="s">
        <v>196</v>
      </c>
      <c r="C68" s="55">
        <v>2.9999999999999997E-4</v>
      </c>
      <c r="D68" s="77">
        <f t="shared" si="0"/>
        <v>9.2200000000000006</v>
      </c>
      <c r="E68" s="77">
        <f t="shared" si="1"/>
        <v>9.2200000000000006</v>
      </c>
      <c r="F68" s="62">
        <f t="shared" si="2"/>
        <v>9.2200000000000006</v>
      </c>
    </row>
    <row r="69" spans="1:6" s="30" customFormat="1" ht="15.75" customHeight="1" x14ac:dyDescent="0.25">
      <c r="A69" s="49" t="s">
        <v>21</v>
      </c>
      <c r="B69" s="254" t="s">
        <v>197</v>
      </c>
      <c r="C69" s="55">
        <v>0</v>
      </c>
      <c r="D69" s="77">
        <f t="shared" si="0"/>
        <v>0</v>
      </c>
      <c r="E69" s="77">
        <f t="shared" si="1"/>
        <v>0</v>
      </c>
      <c r="F69" s="62">
        <f t="shared" si="2"/>
        <v>0</v>
      </c>
    </row>
    <row r="70" spans="1:6" s="30" customFormat="1" x14ac:dyDescent="0.25">
      <c r="A70" s="366" t="s">
        <v>29</v>
      </c>
      <c r="B70" s="367"/>
      <c r="C70" s="56">
        <f>SUM(C64:C69)</f>
        <v>2.9100000000000001E-2</v>
      </c>
      <c r="D70" s="79">
        <f>SUM(D64:D69)</f>
        <v>894.22</v>
      </c>
      <c r="E70" s="79">
        <f>SUM(E64:E69)</f>
        <v>894.22</v>
      </c>
      <c r="F70" s="63">
        <f>SUM(F64:F69)</f>
        <v>894.22</v>
      </c>
    </row>
    <row r="71" spans="1:6" s="30" customFormat="1" x14ac:dyDescent="0.25">
      <c r="A71" s="257"/>
      <c r="B71" s="258"/>
      <c r="C71" s="71"/>
      <c r="D71" s="71"/>
      <c r="E71" s="74"/>
      <c r="F71" s="59"/>
    </row>
    <row r="72" spans="1:6" s="30" customFormat="1" x14ac:dyDescent="0.25">
      <c r="A72" s="257"/>
      <c r="B72" s="374" t="s">
        <v>201</v>
      </c>
      <c r="C72" s="375"/>
      <c r="D72" s="68" t="s">
        <v>10</v>
      </c>
      <c r="E72" s="68" t="s">
        <v>10</v>
      </c>
      <c r="F72" s="152" t="s">
        <v>10</v>
      </c>
    </row>
    <row r="73" spans="1:6" s="30" customFormat="1" x14ac:dyDescent="0.25">
      <c r="A73" s="47" t="s">
        <v>0</v>
      </c>
      <c r="B73" s="248" t="s">
        <v>202</v>
      </c>
      <c r="C73" s="143">
        <v>0</v>
      </c>
      <c r="D73" s="199">
        <v>0</v>
      </c>
      <c r="E73" s="199">
        <v>0</v>
      </c>
      <c r="F73" s="200">
        <v>0</v>
      </c>
    </row>
    <row r="74" spans="1:6" s="30" customFormat="1" ht="15.75" customHeight="1" x14ac:dyDescent="0.25">
      <c r="A74" s="366" t="s">
        <v>27</v>
      </c>
      <c r="B74" s="367"/>
      <c r="C74" s="93">
        <v>0</v>
      </c>
      <c r="D74" s="79">
        <f>D73</f>
        <v>0</v>
      </c>
      <c r="E74" s="79">
        <f>E73</f>
        <v>0</v>
      </c>
      <c r="F74" s="63">
        <f>F73</f>
        <v>0</v>
      </c>
    </row>
    <row r="75" spans="1:6" s="30" customFormat="1" ht="15.75" customHeight="1" x14ac:dyDescent="0.25">
      <c r="A75" s="370" t="s">
        <v>30</v>
      </c>
      <c r="B75" s="371"/>
      <c r="C75" s="371"/>
      <c r="D75" s="226"/>
      <c r="E75" s="226"/>
      <c r="F75" s="227"/>
    </row>
    <row r="76" spans="1:6" s="30" customFormat="1" ht="15.75" customHeight="1" x14ac:dyDescent="0.25">
      <c r="A76" s="449" t="s">
        <v>203</v>
      </c>
      <c r="B76" s="450"/>
      <c r="C76" s="450"/>
      <c r="D76" s="231"/>
      <c r="E76" s="231"/>
      <c r="F76" s="232"/>
    </row>
    <row r="77" spans="1:6" s="30" customFormat="1" ht="15.75" customHeight="1" x14ac:dyDescent="0.25">
      <c r="A77" s="251">
        <v>4</v>
      </c>
      <c r="B77" s="376" t="s">
        <v>220</v>
      </c>
      <c r="C77" s="377"/>
      <c r="D77" s="68" t="s">
        <v>10</v>
      </c>
      <c r="E77" s="68" t="s">
        <v>10</v>
      </c>
      <c r="F77" s="152" t="s">
        <v>10</v>
      </c>
    </row>
    <row r="78" spans="1:6" s="30" customFormat="1" ht="15.75" customHeight="1" x14ac:dyDescent="0.25">
      <c r="A78" s="49" t="s">
        <v>199</v>
      </c>
      <c r="B78" s="50" t="s">
        <v>198</v>
      </c>
      <c r="C78" s="55">
        <f>C70</f>
        <v>2.9100000000000001E-2</v>
      </c>
      <c r="D78" s="77">
        <f>D70</f>
        <v>894.22</v>
      </c>
      <c r="E78" s="77">
        <f>E70</f>
        <v>894.22</v>
      </c>
      <c r="F78" s="62">
        <f>F70</f>
        <v>894.22</v>
      </c>
    </row>
    <row r="79" spans="1:6" s="30" customFormat="1" ht="15.75" customHeight="1" x14ac:dyDescent="0.25">
      <c r="A79" s="49" t="s">
        <v>221</v>
      </c>
      <c r="B79" s="50" t="s">
        <v>201</v>
      </c>
      <c r="C79" s="55">
        <v>0</v>
      </c>
      <c r="D79" s="77">
        <f>(D$25+D$53+D$61)*C79</f>
        <v>0</v>
      </c>
      <c r="E79" s="77">
        <f>(E$25+E$53+E$61)*C79</f>
        <v>0</v>
      </c>
      <c r="F79" s="62">
        <f>(F$25+F$53+F$61)*C79</f>
        <v>0</v>
      </c>
    </row>
    <row r="80" spans="1:6" s="30" customFormat="1" ht="15.75" customHeight="1" x14ac:dyDescent="0.25">
      <c r="A80" s="366" t="s">
        <v>27</v>
      </c>
      <c r="B80" s="367"/>
      <c r="C80" s="91">
        <f>SUM(C78:C79)</f>
        <v>2.9100000000000001E-2</v>
      </c>
      <c r="D80" s="79">
        <f>SUM(D78:D79)</f>
        <v>894.22</v>
      </c>
      <c r="E80" s="79">
        <f>SUM(E78:E79)</f>
        <v>894.22</v>
      </c>
      <c r="F80" s="63">
        <f>SUM(F78:F79)</f>
        <v>894.22</v>
      </c>
    </row>
    <row r="81" spans="1:6" s="30" customFormat="1" ht="15.75" customHeight="1" x14ac:dyDescent="0.25">
      <c r="A81" s="368" t="s">
        <v>155</v>
      </c>
      <c r="B81" s="369"/>
      <c r="C81" s="369"/>
      <c r="D81" s="65">
        <f>SUM(D74+D80)</f>
        <v>894.22</v>
      </c>
      <c r="E81" s="65">
        <f>SUM(E74+E80)</f>
        <v>894.22</v>
      </c>
      <c r="F81" s="61">
        <f>SUM(F74+F80)</f>
        <v>894.22</v>
      </c>
    </row>
    <row r="82" spans="1:6" s="30" customFormat="1" ht="15.75" customHeight="1" x14ac:dyDescent="0.25">
      <c r="A82" s="389" t="s">
        <v>164</v>
      </c>
      <c r="B82" s="379"/>
      <c r="C82" s="379"/>
      <c r="D82" s="228"/>
      <c r="E82" s="228"/>
      <c r="F82" s="229"/>
    </row>
    <row r="83" spans="1:6" s="30" customFormat="1" ht="15.75" customHeight="1" x14ac:dyDescent="0.25">
      <c r="A83" s="251">
        <v>5</v>
      </c>
      <c r="B83" s="376" t="s">
        <v>24</v>
      </c>
      <c r="C83" s="377"/>
      <c r="D83" s="68" t="s">
        <v>10</v>
      </c>
      <c r="E83" s="68" t="s">
        <v>10</v>
      </c>
      <c r="F83" s="152" t="s">
        <v>10</v>
      </c>
    </row>
    <row r="84" spans="1:6" s="30" customFormat="1" ht="15.75" customHeight="1" x14ac:dyDescent="0.25">
      <c r="A84" s="49" t="s">
        <v>0</v>
      </c>
      <c r="B84" s="390" t="s">
        <v>222</v>
      </c>
      <c r="C84" s="390"/>
      <c r="D84" s="77">
        <f>Uniformes!H7</f>
        <v>36.619999999999997</v>
      </c>
      <c r="E84" s="77">
        <f>Uniformes!H7</f>
        <v>36.619999999999997</v>
      </c>
      <c r="F84" s="59">
        <f>Uniformes!H7</f>
        <v>36.619999999999997</v>
      </c>
    </row>
    <row r="85" spans="1:6" s="30" customFormat="1" ht="15.75" customHeight="1" x14ac:dyDescent="0.25">
      <c r="A85" s="49" t="s">
        <v>2</v>
      </c>
      <c r="B85" s="390" t="s">
        <v>223</v>
      </c>
      <c r="C85" s="390"/>
      <c r="D85" s="77">
        <f>Materiais!H20</f>
        <v>44.57</v>
      </c>
      <c r="E85" s="77">
        <f>Materiais!H21</f>
        <v>44.57</v>
      </c>
      <c r="F85" s="59">
        <f>Materiais!H24</f>
        <v>44.57</v>
      </c>
    </row>
    <row r="86" spans="1:6" s="30" customFormat="1" ht="15.75" customHeight="1" x14ac:dyDescent="0.25">
      <c r="A86" s="47" t="s">
        <v>3</v>
      </c>
      <c r="B86" s="390" t="s">
        <v>187</v>
      </c>
      <c r="C86" s="390"/>
      <c r="D86" s="74">
        <f>Equipamentos!H20</f>
        <v>922.4</v>
      </c>
      <c r="E86" s="74">
        <f>Equipamentos!H21</f>
        <v>922.4</v>
      </c>
      <c r="F86" s="59">
        <f>Equipamentos!H24</f>
        <v>922.4</v>
      </c>
    </row>
    <row r="87" spans="1:6" s="30" customFormat="1" ht="15.75" customHeight="1" x14ac:dyDescent="0.25">
      <c r="A87" s="49" t="s">
        <v>5</v>
      </c>
      <c r="B87" s="390" t="s">
        <v>137</v>
      </c>
      <c r="C87" s="390"/>
      <c r="D87" s="77">
        <v>0</v>
      </c>
      <c r="E87" s="77">
        <v>0</v>
      </c>
      <c r="F87" s="62">
        <v>0</v>
      </c>
    </row>
    <row r="88" spans="1:6" s="30" customFormat="1" ht="15.75" customHeight="1" x14ac:dyDescent="0.25">
      <c r="A88" s="368" t="s">
        <v>156</v>
      </c>
      <c r="B88" s="369"/>
      <c r="C88" s="369"/>
      <c r="D88" s="65">
        <f>SUM(D84:D87)</f>
        <v>1003.59</v>
      </c>
      <c r="E88" s="65">
        <f>SUM(E84:E87)</f>
        <v>1003.59</v>
      </c>
      <c r="F88" s="61">
        <f>SUM(F84:F87)</f>
        <v>1003.59</v>
      </c>
    </row>
    <row r="89" spans="1:6" s="30" customFormat="1" ht="30" customHeight="1" x14ac:dyDescent="0.25">
      <c r="A89" s="389" t="s">
        <v>37</v>
      </c>
      <c r="B89" s="379"/>
      <c r="C89" s="379"/>
      <c r="D89" s="144">
        <f>D88+D81+D61+D53+D25</f>
        <v>32590.18</v>
      </c>
      <c r="E89" s="144">
        <f>E88+E81+E61+E53+E25</f>
        <v>32590.18</v>
      </c>
      <c r="F89" s="201">
        <f>F88+F81+F61+F53+F25</f>
        <v>32590.18</v>
      </c>
    </row>
    <row r="90" spans="1:6" s="30" customFormat="1" ht="19.5" customHeight="1" x14ac:dyDescent="0.25">
      <c r="A90" s="370" t="s">
        <v>165</v>
      </c>
      <c r="B90" s="371"/>
      <c r="C90" s="371"/>
      <c r="D90" s="226"/>
      <c r="E90" s="226"/>
      <c r="F90" s="227"/>
    </row>
    <row r="91" spans="1:6" s="30" customFormat="1" x14ac:dyDescent="0.25">
      <c r="A91" s="251">
        <v>5</v>
      </c>
      <c r="B91" s="376" t="s">
        <v>38</v>
      </c>
      <c r="C91" s="378"/>
      <c r="D91" s="68" t="s">
        <v>10</v>
      </c>
      <c r="E91" s="68" t="s">
        <v>10</v>
      </c>
      <c r="F91" s="152" t="s">
        <v>10</v>
      </c>
    </row>
    <row r="92" spans="1:6" s="30" customFormat="1" x14ac:dyDescent="0.25">
      <c r="A92" s="251" t="s">
        <v>0</v>
      </c>
      <c r="B92" s="50" t="s">
        <v>39</v>
      </c>
      <c r="C92" s="55">
        <v>0.03</v>
      </c>
      <c r="D92" s="77">
        <f>D89*C92</f>
        <v>977.71</v>
      </c>
      <c r="E92" s="77">
        <f>E89*C92</f>
        <v>977.71</v>
      </c>
      <c r="F92" s="62">
        <f>F89*C92</f>
        <v>977.71</v>
      </c>
    </row>
    <row r="93" spans="1:6" s="30" customFormat="1" x14ac:dyDescent="0.25">
      <c r="A93" s="251" t="s">
        <v>2</v>
      </c>
      <c r="B93" s="50" t="s">
        <v>40</v>
      </c>
      <c r="C93" s="55">
        <v>6.7900000000000002E-2</v>
      </c>
      <c r="D93" s="77">
        <f>C93*(D89+D92)</f>
        <v>2279.2600000000002</v>
      </c>
      <c r="E93" s="77">
        <f>C93*(E89+E92)</f>
        <v>2279.2600000000002</v>
      </c>
      <c r="F93" s="62">
        <f>C93*(F89+F92)</f>
        <v>2279.2600000000002</v>
      </c>
    </row>
    <row r="94" spans="1:6" s="30" customFormat="1" ht="31.5" x14ac:dyDescent="0.25">
      <c r="A94" s="384" t="s">
        <v>3</v>
      </c>
      <c r="B94" s="50" t="s">
        <v>50</v>
      </c>
      <c r="C94" s="55">
        <f>1-C102</f>
        <v>0.85750000000000004</v>
      </c>
      <c r="D94" s="77">
        <f>D89+D92+D93</f>
        <v>35847.15</v>
      </c>
      <c r="E94" s="77">
        <f>E89+E92+E93</f>
        <v>35847.15</v>
      </c>
      <c r="F94" s="62">
        <f>F89+F92+F93</f>
        <v>35847.15</v>
      </c>
    </row>
    <row r="95" spans="1:6" s="30" customFormat="1" x14ac:dyDescent="0.25">
      <c r="A95" s="384"/>
      <c r="B95" s="254" t="s">
        <v>41</v>
      </c>
      <c r="C95" s="88"/>
      <c r="D95" s="145">
        <f>+D94/C94</f>
        <v>41804.26</v>
      </c>
      <c r="E95" s="145">
        <f>+E94/C94</f>
        <v>41804.26</v>
      </c>
      <c r="F95" s="202">
        <f>+F94/C94</f>
        <v>41804.26</v>
      </c>
    </row>
    <row r="96" spans="1:6" s="30" customFormat="1" x14ac:dyDescent="0.25">
      <c r="A96" s="384"/>
      <c r="B96" s="254" t="s">
        <v>42</v>
      </c>
      <c r="C96" s="67"/>
      <c r="D96" s="77"/>
      <c r="E96" s="77"/>
      <c r="F96" s="62"/>
    </row>
    <row r="97" spans="1:6" s="30" customFormat="1" x14ac:dyDescent="0.25">
      <c r="A97" s="384"/>
      <c r="B97" s="50" t="s">
        <v>130</v>
      </c>
      <c r="C97" s="55">
        <v>1.6500000000000001E-2</v>
      </c>
      <c r="D97" s="77">
        <f>+D95*C97</f>
        <v>689.77</v>
      </c>
      <c r="E97" s="77">
        <f>+E95*C97</f>
        <v>689.77</v>
      </c>
      <c r="F97" s="62">
        <f>+F95*C97</f>
        <v>689.77</v>
      </c>
    </row>
    <row r="98" spans="1:6" s="30" customFormat="1" x14ac:dyDescent="0.25">
      <c r="A98" s="384"/>
      <c r="B98" s="50" t="s">
        <v>131</v>
      </c>
      <c r="C98" s="55">
        <v>7.5999999999999998E-2</v>
      </c>
      <c r="D98" s="77">
        <f>+D95*C98</f>
        <v>3177.12</v>
      </c>
      <c r="E98" s="77">
        <f>+E95*C98</f>
        <v>3177.12</v>
      </c>
      <c r="F98" s="62">
        <f>+F95*C98</f>
        <v>3177.12</v>
      </c>
    </row>
    <row r="99" spans="1:6" s="30" customFormat="1" x14ac:dyDescent="0.25">
      <c r="A99" s="384"/>
      <c r="B99" s="51" t="s">
        <v>43</v>
      </c>
      <c r="C99" s="88"/>
      <c r="D99" s="77"/>
      <c r="E99" s="77"/>
      <c r="F99" s="62"/>
    </row>
    <row r="100" spans="1:6" s="30" customFormat="1" x14ac:dyDescent="0.25">
      <c r="A100" s="384"/>
      <c r="B100" s="51" t="s">
        <v>44</v>
      </c>
      <c r="C100" s="94"/>
      <c r="D100" s="77"/>
      <c r="E100" s="77"/>
      <c r="F100" s="62"/>
    </row>
    <row r="101" spans="1:6" s="30" customFormat="1" x14ac:dyDescent="0.25">
      <c r="A101" s="384"/>
      <c r="B101" s="50" t="s">
        <v>142</v>
      </c>
      <c r="C101" s="55">
        <v>0.05</v>
      </c>
      <c r="D101" s="77">
        <f>+D95*C101</f>
        <v>2090.21</v>
      </c>
      <c r="E101" s="77">
        <f>+E95*C101</f>
        <v>2090.21</v>
      </c>
      <c r="F101" s="62">
        <f>+F95*C101</f>
        <v>2090.21</v>
      </c>
    </row>
    <row r="102" spans="1:6" s="30" customFormat="1" x14ac:dyDescent="0.25">
      <c r="A102" s="251"/>
      <c r="B102" s="98" t="s">
        <v>45</v>
      </c>
      <c r="C102" s="99">
        <f>SUM(C97:C101)</f>
        <v>0.14249999999999999</v>
      </c>
      <c r="D102" s="100">
        <f>SUM(D97:D101)</f>
        <v>5957.1</v>
      </c>
      <c r="E102" s="100">
        <f>SUM(E97:E101)</f>
        <v>5957.1</v>
      </c>
      <c r="F102" s="170">
        <f>SUM(F97:F101)</f>
        <v>5957.1</v>
      </c>
    </row>
    <row r="103" spans="1:6" s="30" customFormat="1" ht="15.75" customHeight="1" x14ac:dyDescent="0.25">
      <c r="A103" s="366" t="s">
        <v>46</v>
      </c>
      <c r="B103" s="367"/>
      <c r="C103" s="367"/>
      <c r="D103" s="79">
        <f>+D92+D93+D102</f>
        <v>9214.07</v>
      </c>
      <c r="E103" s="79">
        <f>+E92+E93+E102</f>
        <v>9214.07</v>
      </c>
      <c r="F103" s="63">
        <f>+F92+F93+F102</f>
        <v>9214.07</v>
      </c>
    </row>
    <row r="104" spans="1:6" s="30" customFormat="1" ht="15.75" customHeight="1" x14ac:dyDescent="0.25">
      <c r="A104" s="385" t="s">
        <v>47</v>
      </c>
      <c r="B104" s="386"/>
      <c r="C104" s="386"/>
      <c r="D104" s="70" t="s">
        <v>10</v>
      </c>
      <c r="E104" s="70" t="s">
        <v>10</v>
      </c>
      <c r="F104" s="171" t="s">
        <v>10</v>
      </c>
    </row>
    <row r="105" spans="1:6" s="30" customFormat="1" x14ac:dyDescent="0.25">
      <c r="A105" s="49" t="s">
        <v>0</v>
      </c>
      <c r="B105" s="387" t="s">
        <v>48</v>
      </c>
      <c r="C105" s="387"/>
      <c r="D105" s="77">
        <f>D25</f>
        <v>17996.75</v>
      </c>
      <c r="E105" s="77">
        <f>E25</f>
        <v>17996.75</v>
      </c>
      <c r="F105" s="62">
        <f>F25</f>
        <v>17996.75</v>
      </c>
    </row>
    <row r="106" spans="1:6" s="30" customFormat="1" x14ac:dyDescent="0.25">
      <c r="A106" s="49" t="s">
        <v>2</v>
      </c>
      <c r="B106" s="387" t="s">
        <v>159</v>
      </c>
      <c r="C106" s="387"/>
      <c r="D106" s="77">
        <f>D53</f>
        <v>11408.84</v>
      </c>
      <c r="E106" s="77">
        <f>E53</f>
        <v>11408.84</v>
      </c>
      <c r="F106" s="62">
        <f>F53</f>
        <v>11408.84</v>
      </c>
    </row>
    <row r="107" spans="1:6" s="30" customFormat="1" x14ac:dyDescent="0.25">
      <c r="A107" s="49" t="s">
        <v>3</v>
      </c>
      <c r="B107" s="387" t="s">
        <v>157</v>
      </c>
      <c r="C107" s="387"/>
      <c r="D107" s="77">
        <f>D61</f>
        <v>1286.78</v>
      </c>
      <c r="E107" s="77">
        <f>E61</f>
        <v>1286.78</v>
      </c>
      <c r="F107" s="62">
        <f>F61</f>
        <v>1286.78</v>
      </c>
    </row>
    <row r="108" spans="1:6" s="30" customFormat="1" x14ac:dyDescent="0.25">
      <c r="A108" s="49" t="s">
        <v>5</v>
      </c>
      <c r="B108" s="387" t="s">
        <v>150</v>
      </c>
      <c r="C108" s="387"/>
      <c r="D108" s="77">
        <f>D81</f>
        <v>894.22</v>
      </c>
      <c r="E108" s="77">
        <f>E81</f>
        <v>894.22</v>
      </c>
      <c r="F108" s="62">
        <f>F81</f>
        <v>894.22</v>
      </c>
    </row>
    <row r="109" spans="1:6" s="30" customFormat="1" x14ac:dyDescent="0.25">
      <c r="A109" s="49" t="s">
        <v>20</v>
      </c>
      <c r="B109" s="387" t="s">
        <v>158</v>
      </c>
      <c r="C109" s="387"/>
      <c r="D109" s="77">
        <f>D88</f>
        <v>1003.59</v>
      </c>
      <c r="E109" s="77">
        <f>E88</f>
        <v>1003.59</v>
      </c>
      <c r="F109" s="62">
        <f>F88</f>
        <v>1003.59</v>
      </c>
    </row>
    <row r="110" spans="1:6" s="30" customFormat="1" ht="15.75" customHeight="1" x14ac:dyDescent="0.25">
      <c r="A110" s="384" t="s">
        <v>160</v>
      </c>
      <c r="B110" s="388"/>
      <c r="C110" s="388"/>
      <c r="D110" s="100">
        <f>SUM(D105:D109)</f>
        <v>32590.18</v>
      </c>
      <c r="E110" s="100">
        <f>SUM(E105:E109)</f>
        <v>32590.18</v>
      </c>
      <c r="F110" s="170">
        <f>SUM(F105:F109)</f>
        <v>32590.18</v>
      </c>
    </row>
    <row r="111" spans="1:6" s="30" customFormat="1" x14ac:dyDescent="0.25">
      <c r="A111" s="251" t="s">
        <v>20</v>
      </c>
      <c r="B111" s="387" t="s">
        <v>161</v>
      </c>
      <c r="C111" s="387"/>
      <c r="D111" s="77">
        <f>+D103</f>
        <v>9214.07</v>
      </c>
      <c r="E111" s="77">
        <f>+E103</f>
        <v>9214.07</v>
      </c>
      <c r="F111" s="62">
        <f>+F103</f>
        <v>9214.07</v>
      </c>
    </row>
    <row r="112" spans="1:6" s="30" customFormat="1" ht="16.5" customHeight="1" thickBot="1" x14ac:dyDescent="0.3">
      <c r="A112" s="466" t="s">
        <v>49</v>
      </c>
      <c r="B112" s="467"/>
      <c r="C112" s="467"/>
      <c r="D112" s="272">
        <f>+D110+D111</f>
        <v>41804.25</v>
      </c>
      <c r="E112" s="272">
        <f>+E110+E111</f>
        <v>41804.25</v>
      </c>
      <c r="F112" s="273">
        <f>+F110+F111</f>
        <v>41804.25</v>
      </c>
    </row>
    <row r="113" spans="1:6" ht="15.75" customHeight="1" thickBot="1" x14ac:dyDescent="0.3">
      <c r="A113" s="463" t="s">
        <v>234</v>
      </c>
      <c r="B113" s="464"/>
      <c r="C113" s="464"/>
      <c r="D113" s="464"/>
      <c r="E113" s="464"/>
      <c r="F113" s="465"/>
    </row>
    <row r="114" spans="1:6" ht="15.75" customHeight="1" x14ac:dyDescent="0.25">
      <c r="A114" s="454" t="s">
        <v>318</v>
      </c>
      <c r="B114" s="455"/>
      <c r="C114" s="455"/>
      <c r="D114" s="455"/>
      <c r="E114" s="455"/>
      <c r="F114" s="456"/>
    </row>
    <row r="115" spans="1:6" x14ac:dyDescent="0.25">
      <c r="A115" s="457"/>
      <c r="B115" s="458"/>
      <c r="C115" s="458"/>
      <c r="D115" s="458"/>
      <c r="E115" s="458"/>
      <c r="F115" s="459"/>
    </row>
    <row r="116" spans="1:6" x14ac:dyDescent="0.25">
      <c r="A116" s="457"/>
      <c r="B116" s="458"/>
      <c r="C116" s="458"/>
      <c r="D116" s="458"/>
      <c r="E116" s="458"/>
      <c r="F116" s="459"/>
    </row>
    <row r="117" spans="1:6" x14ac:dyDescent="0.25">
      <c r="A117" s="457"/>
      <c r="B117" s="458"/>
      <c r="C117" s="458"/>
      <c r="D117" s="458"/>
      <c r="E117" s="458"/>
      <c r="F117" s="459"/>
    </row>
    <row r="118" spans="1:6" x14ac:dyDescent="0.25">
      <c r="A118" s="457"/>
      <c r="B118" s="458"/>
      <c r="C118" s="458"/>
      <c r="D118" s="458"/>
      <c r="E118" s="458"/>
      <c r="F118" s="459"/>
    </row>
    <row r="119" spans="1:6" x14ac:dyDescent="0.25">
      <c r="A119" s="457"/>
      <c r="B119" s="458"/>
      <c r="C119" s="458"/>
      <c r="D119" s="458"/>
      <c r="E119" s="458"/>
      <c r="F119" s="459"/>
    </row>
    <row r="120" spans="1:6" x14ac:dyDescent="0.25">
      <c r="A120" s="457"/>
      <c r="B120" s="458"/>
      <c r="C120" s="458"/>
      <c r="D120" s="458"/>
      <c r="E120" s="458"/>
      <c r="F120" s="459"/>
    </row>
    <row r="121" spans="1:6" x14ac:dyDescent="0.25">
      <c r="A121" s="457"/>
      <c r="B121" s="458"/>
      <c r="C121" s="458"/>
      <c r="D121" s="458"/>
      <c r="E121" s="458"/>
      <c r="F121" s="459"/>
    </row>
    <row r="122" spans="1:6" ht="16.5" thickBot="1" x14ac:dyDescent="0.3">
      <c r="A122" s="460"/>
      <c r="B122" s="461"/>
      <c r="C122" s="461"/>
      <c r="D122" s="461"/>
      <c r="E122" s="461"/>
      <c r="F122" s="462"/>
    </row>
    <row r="124" spans="1:6" x14ac:dyDescent="0.25">
      <c r="B124" s="28"/>
    </row>
  </sheetData>
  <mergeCells count="65">
    <mergeCell ref="A114:F122"/>
    <mergeCell ref="B105:C105"/>
    <mergeCell ref="B84:C84"/>
    <mergeCell ref="B85:C85"/>
    <mergeCell ref="B86:C86"/>
    <mergeCell ref="A113:F113"/>
    <mergeCell ref="A103:C103"/>
    <mergeCell ref="A104:C104"/>
    <mergeCell ref="A90:C90"/>
    <mergeCell ref="B87:C87"/>
    <mergeCell ref="A88:C88"/>
    <mergeCell ref="A89:C89"/>
    <mergeCell ref="B91:C91"/>
    <mergeCell ref="A94:A101"/>
    <mergeCell ref="A112:C112"/>
    <mergeCell ref="B106:C106"/>
    <mergeCell ref="B107:C107"/>
    <mergeCell ref="B108:C108"/>
    <mergeCell ref="B109:C109"/>
    <mergeCell ref="A110:C110"/>
    <mergeCell ref="B111:C111"/>
    <mergeCell ref="A9:F9"/>
    <mergeCell ref="A10:F10"/>
    <mergeCell ref="D11:F11"/>
    <mergeCell ref="C12:F12"/>
    <mergeCell ref="C13:F13"/>
    <mergeCell ref="B83:C83"/>
    <mergeCell ref="B63:C63"/>
    <mergeCell ref="A70:B70"/>
    <mergeCell ref="B72:C72"/>
    <mergeCell ref="A74:B74"/>
    <mergeCell ref="B77:C77"/>
    <mergeCell ref="A80:B80"/>
    <mergeCell ref="A81:C81"/>
    <mergeCell ref="A62:C62"/>
    <mergeCell ref="A75:C75"/>
    <mergeCell ref="A76:C76"/>
    <mergeCell ref="A82:C82"/>
    <mergeCell ref="A61:C61"/>
    <mergeCell ref="B27:C27"/>
    <mergeCell ref="A30:B30"/>
    <mergeCell ref="B32:C32"/>
    <mergeCell ref="A41:B41"/>
    <mergeCell ref="B42:C42"/>
    <mergeCell ref="A31:F31"/>
    <mergeCell ref="A48:C48"/>
    <mergeCell ref="A53:C53"/>
    <mergeCell ref="B55:C55"/>
    <mergeCell ref="A49:C49"/>
    <mergeCell ref="A54:C54"/>
    <mergeCell ref="A26:C26"/>
    <mergeCell ref="A11:C11"/>
    <mergeCell ref="A16:C16"/>
    <mergeCell ref="B17:C17"/>
    <mergeCell ref="A25:C25"/>
    <mergeCell ref="C14:F14"/>
    <mergeCell ref="C15:F15"/>
    <mergeCell ref="C7:F7"/>
    <mergeCell ref="A8:F8"/>
    <mergeCell ref="A1:F1"/>
    <mergeCell ref="A2:F2"/>
    <mergeCell ref="A3:F3"/>
    <mergeCell ref="C4:F4"/>
    <mergeCell ref="C5:F5"/>
    <mergeCell ref="C6:F6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view="pageBreakPreview" topLeftCell="A94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391"/>
      <c r="B1" s="392"/>
      <c r="C1" s="392"/>
      <c r="D1" s="392"/>
      <c r="E1" s="392"/>
      <c r="F1" s="393"/>
    </row>
    <row r="2" spans="1:6" s="38" customFormat="1" ht="16.5" customHeight="1" x14ac:dyDescent="0.25">
      <c r="A2" s="394" t="s">
        <v>132</v>
      </c>
      <c r="B2" s="395"/>
      <c r="C2" s="395"/>
      <c r="D2" s="395"/>
      <c r="E2" s="395"/>
      <c r="F2" s="396"/>
    </row>
    <row r="3" spans="1:6" s="38" customFormat="1" x14ac:dyDescent="0.25">
      <c r="A3" s="397" t="s">
        <v>129</v>
      </c>
      <c r="B3" s="398"/>
      <c r="C3" s="398"/>
      <c r="D3" s="398"/>
      <c r="E3" s="398"/>
      <c r="F3" s="399"/>
    </row>
    <row r="4" spans="1:6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1"/>
    </row>
    <row r="5" spans="1:6" s="38" customFormat="1" ht="90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3"/>
    </row>
    <row r="6" spans="1:6" s="38" customFormat="1" ht="15.75" customHeight="1" x14ac:dyDescent="0.25">
      <c r="A6" s="40" t="s">
        <v>3</v>
      </c>
      <c r="B6" s="41" t="s">
        <v>4</v>
      </c>
      <c r="C6" s="402"/>
      <c r="D6" s="402"/>
      <c r="E6" s="402"/>
      <c r="F6" s="403"/>
    </row>
    <row r="7" spans="1:6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3"/>
    </row>
    <row r="8" spans="1:6" s="38" customFormat="1" x14ac:dyDescent="0.25">
      <c r="A8" s="397" t="s">
        <v>6</v>
      </c>
      <c r="B8" s="398"/>
      <c r="C8" s="398"/>
      <c r="D8" s="398"/>
      <c r="E8" s="398"/>
      <c r="F8" s="399"/>
    </row>
    <row r="9" spans="1:6" s="38" customFormat="1" x14ac:dyDescent="0.25">
      <c r="A9" s="397" t="s">
        <v>7</v>
      </c>
      <c r="B9" s="398"/>
      <c r="C9" s="398"/>
      <c r="D9" s="398"/>
      <c r="E9" s="398"/>
      <c r="F9" s="399"/>
    </row>
    <row r="10" spans="1:6" s="38" customFormat="1" ht="15.75" customHeight="1" x14ac:dyDescent="0.25">
      <c r="A10" s="397" t="s">
        <v>8</v>
      </c>
      <c r="B10" s="398"/>
      <c r="C10" s="398"/>
      <c r="D10" s="398"/>
      <c r="E10" s="398"/>
      <c r="F10" s="399"/>
    </row>
    <row r="11" spans="1:6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5"/>
    </row>
    <row r="12" spans="1:6" s="38" customFormat="1" ht="75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5"/>
    </row>
    <row r="13" spans="1:6" s="38" customFormat="1" ht="30" customHeight="1" x14ac:dyDescent="0.25">
      <c r="A13" s="40">
        <v>2</v>
      </c>
      <c r="B13" s="42" t="s">
        <v>11</v>
      </c>
      <c r="C13" s="452">
        <f>(13581.68+(13581.68*10.18%)+(14964.25*8.9%)+(16296.07*6.97%))</f>
        <v>17431.95</v>
      </c>
      <c r="D13" s="452"/>
      <c r="E13" s="452"/>
      <c r="F13" s="453"/>
    </row>
    <row r="14" spans="1:6" s="38" customFormat="1" ht="15.95" customHeight="1" x14ac:dyDescent="0.25">
      <c r="A14" s="40">
        <v>3</v>
      </c>
      <c r="B14" s="42" t="s">
        <v>12</v>
      </c>
      <c r="C14" s="414" t="s">
        <v>240</v>
      </c>
      <c r="D14" s="414"/>
      <c r="E14" s="414"/>
      <c r="F14" s="415"/>
    </row>
    <row r="15" spans="1:6" s="38" customFormat="1" x14ac:dyDescent="0.25">
      <c r="A15" s="40">
        <v>4</v>
      </c>
      <c r="B15" s="43" t="s">
        <v>13</v>
      </c>
      <c r="C15" s="404"/>
      <c r="D15" s="404"/>
      <c r="E15" s="404"/>
      <c r="F15" s="405"/>
    </row>
    <row r="16" spans="1:6" s="39" customFormat="1" x14ac:dyDescent="0.25">
      <c r="A16" s="416" t="s">
        <v>14</v>
      </c>
      <c r="B16" s="417"/>
      <c r="C16" s="417"/>
      <c r="D16" s="250" t="s">
        <v>271</v>
      </c>
      <c r="E16" s="250" t="s">
        <v>271</v>
      </c>
      <c r="F16" s="261" t="s">
        <v>271</v>
      </c>
    </row>
    <row r="17" spans="1:6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8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17431.95</v>
      </c>
      <c r="E18" s="74">
        <f>C13</f>
        <v>17431.95</v>
      </c>
      <c r="F18" s="59">
        <f>C13</f>
        <v>17431.95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60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6">
        <f>40%*1412</f>
        <v>564.79999999999995</v>
      </c>
      <c r="E20" s="76">
        <f>40%*1412</f>
        <v>564.79999999999995</v>
      </c>
      <c r="F20" s="60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6">
        <f>((((D18+D20)/220)*20%)*8)*15.21</f>
        <v>1990.77</v>
      </c>
      <c r="E21" s="76">
        <f>((((E18+E20)/220)*20%)*8)*15.21</f>
        <v>1990.77</v>
      </c>
      <c r="F21" s="60">
        <f>((((F18+F20)/220)*20%)*8)*15.21</f>
        <v>1990.77</v>
      </c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60"/>
    </row>
    <row r="23" spans="1:6" s="38" customFormat="1" x14ac:dyDescent="0.25">
      <c r="A23" s="44" t="s">
        <v>21</v>
      </c>
      <c r="B23" s="45" t="s">
        <v>138</v>
      </c>
      <c r="C23" s="48"/>
      <c r="D23" s="76"/>
      <c r="E23" s="76"/>
      <c r="F23" s="60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60"/>
    </row>
    <row r="25" spans="1:6" s="39" customFormat="1" ht="15.75" customHeight="1" x14ac:dyDescent="0.25">
      <c r="A25" s="368" t="s">
        <v>152</v>
      </c>
      <c r="B25" s="369"/>
      <c r="C25" s="369"/>
      <c r="D25" s="65">
        <f>SUM(D18:D24)</f>
        <v>19987.52</v>
      </c>
      <c r="E25" s="65">
        <f>SUM(E18:E24)</f>
        <v>19987.52</v>
      </c>
      <c r="F25" s="61">
        <f>SUM(F18:F24)</f>
        <v>19987.52</v>
      </c>
    </row>
    <row r="26" spans="1:6" s="39" customFormat="1" x14ac:dyDescent="0.25">
      <c r="A26" s="370" t="s">
        <v>51</v>
      </c>
      <c r="B26" s="371"/>
      <c r="C26" s="371"/>
      <c r="D26" s="245"/>
      <c r="E26" s="198"/>
      <c r="F26" s="142"/>
    </row>
    <row r="27" spans="1:6" s="38" customFormat="1" x14ac:dyDescent="0.25">
      <c r="A27" s="251">
        <v>2</v>
      </c>
      <c r="B27" s="376" t="s">
        <v>205</v>
      </c>
      <c r="C27" s="378"/>
      <c r="D27" s="68" t="s">
        <v>10</v>
      </c>
      <c r="E27" s="68" t="s">
        <v>10</v>
      </c>
      <c r="F27" s="152" t="s">
        <v>10</v>
      </c>
    </row>
    <row r="28" spans="1:6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1664.96</v>
      </c>
      <c r="E28" s="77">
        <f>(E25)*C28</f>
        <v>1664.96</v>
      </c>
      <c r="F28" s="62">
        <f>(F25)*C28</f>
        <v>1664.96</v>
      </c>
    </row>
    <row r="29" spans="1:6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2220.61</v>
      </c>
      <c r="E29" s="77">
        <f>(E25)*C29</f>
        <v>2220.61</v>
      </c>
      <c r="F29" s="62">
        <f>(F25)*C29</f>
        <v>2220.61</v>
      </c>
    </row>
    <row r="30" spans="1:6" x14ac:dyDescent="0.25">
      <c r="A30" s="366" t="s">
        <v>27</v>
      </c>
      <c r="B30" s="367"/>
      <c r="C30" s="91">
        <f>SUM(C28:C29)</f>
        <v>0.19439999999999999</v>
      </c>
      <c r="D30" s="79">
        <f>SUM(D28:D29)</f>
        <v>3885.57</v>
      </c>
      <c r="E30" s="79">
        <f>SUM(E28:E29)</f>
        <v>3885.57</v>
      </c>
      <c r="F30" s="63">
        <f>SUM(F28:F29)</f>
        <v>3885.57</v>
      </c>
    </row>
    <row r="31" spans="1:6" ht="32.25" customHeight="1" x14ac:dyDescent="0.25">
      <c r="A31" s="266" t="s">
        <v>206</v>
      </c>
      <c r="B31" s="265"/>
      <c r="C31" s="265"/>
      <c r="D31" s="265"/>
      <c r="E31" s="265"/>
      <c r="F31" s="267"/>
    </row>
    <row r="32" spans="1:6" x14ac:dyDescent="0.25">
      <c r="A32" s="246" t="s">
        <v>215</v>
      </c>
      <c r="B32" s="428" t="s">
        <v>25</v>
      </c>
      <c r="C32" s="429"/>
      <c r="D32" s="69" t="s">
        <v>10</v>
      </c>
      <c r="E32" s="69" t="s">
        <v>10</v>
      </c>
      <c r="F32" s="151" t="s">
        <v>10</v>
      </c>
    </row>
    <row r="33" spans="1:6" x14ac:dyDescent="0.25">
      <c r="A33" s="49" t="s">
        <v>0</v>
      </c>
      <c r="B33" s="80" t="s">
        <v>207</v>
      </c>
      <c r="C33" s="55">
        <v>0.2</v>
      </c>
      <c r="D33" s="77">
        <f>(D25+D30)*C33</f>
        <v>4774.62</v>
      </c>
      <c r="E33" s="77">
        <f>(E25+E30)*C33</f>
        <v>4774.62</v>
      </c>
      <c r="F33" s="62">
        <f>(F25+F30)*C33</f>
        <v>4774.62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358.1</v>
      </c>
      <c r="E34" s="77">
        <f>(E25+E30)*C34</f>
        <v>358.1</v>
      </c>
      <c r="F34" s="62">
        <f>(F25+F30)*C34</f>
        <v>358.1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>(D25+D30)*C35</f>
        <v>238.73</v>
      </c>
      <c r="E35" s="77">
        <f>(E25+E30)*C35</f>
        <v>238.73</v>
      </c>
      <c r="F35" s="62">
        <f>(F25+F30)*C35</f>
        <v>238.73</v>
      </c>
    </row>
    <row r="36" spans="1:6" ht="31.5" x14ac:dyDescent="0.25">
      <c r="A36" s="49" t="s">
        <v>5</v>
      </c>
      <c r="B36" s="249" t="s">
        <v>210</v>
      </c>
      <c r="C36" s="81">
        <v>2E-3</v>
      </c>
      <c r="D36" s="77">
        <f>(D25+D30)*C36</f>
        <v>47.75</v>
      </c>
      <c r="E36" s="77">
        <f>(E25+E30)*C36</f>
        <v>47.75</v>
      </c>
      <c r="F36" s="62">
        <f>(F25+F30)*C36</f>
        <v>47.75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596.83000000000004</v>
      </c>
      <c r="E37" s="77">
        <f>(E25+E30)*C37</f>
        <v>596.83000000000004</v>
      </c>
      <c r="F37" s="62">
        <f>(F25+F30)*C37</f>
        <v>596.83000000000004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>(D25+D30)*C38</f>
        <v>1909.85</v>
      </c>
      <c r="E38" s="77">
        <f>(E25+E30)*C38</f>
        <v>1909.85</v>
      </c>
      <c r="F38" s="62">
        <f>(F25+F30)*C38</f>
        <v>1909.85</v>
      </c>
    </row>
    <row r="39" spans="1:6" ht="30.75" customHeight="1" x14ac:dyDescent="0.25">
      <c r="A39" s="49" t="s">
        <v>22</v>
      </c>
      <c r="B39" s="249" t="s">
        <v>213</v>
      </c>
      <c r="C39" s="81">
        <v>0.03</v>
      </c>
      <c r="D39" s="77">
        <f>(D25+D30)*C39</f>
        <v>716.19</v>
      </c>
      <c r="E39" s="77">
        <f>(E25+E30)*C39</f>
        <v>716.19</v>
      </c>
      <c r="F39" s="62">
        <f>(F25+F30)*C39</f>
        <v>716.19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143.24</v>
      </c>
      <c r="E40" s="77">
        <f>(E25+E30)*C40</f>
        <v>143.24</v>
      </c>
      <c r="F40" s="62">
        <f>(F25+F30)*C40</f>
        <v>143.24</v>
      </c>
    </row>
    <row r="41" spans="1:6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8785.31</v>
      </c>
      <c r="E41" s="79">
        <f>SUM(E33:E40)</f>
        <v>8785.31</v>
      </c>
      <c r="F41" s="63">
        <f>SUM(F33:F40)</f>
        <v>8785.31</v>
      </c>
    </row>
    <row r="42" spans="1:6" s="30" customFormat="1" x14ac:dyDescent="0.25">
      <c r="A42" s="73" t="s">
        <v>216</v>
      </c>
      <c r="B42" s="430" t="s">
        <v>217</v>
      </c>
      <c r="C42" s="431"/>
      <c r="D42" s="104" t="s">
        <v>10</v>
      </c>
      <c r="E42" s="104" t="s">
        <v>10</v>
      </c>
      <c r="F42" s="164" t="s">
        <v>10</v>
      </c>
    </row>
    <row r="43" spans="1:6" s="30" customFormat="1" x14ac:dyDescent="0.25">
      <c r="A43" s="90" t="s">
        <v>0</v>
      </c>
      <c r="B43" s="53" t="s">
        <v>144</v>
      </c>
      <c r="C43" s="105"/>
      <c r="D43" s="76">
        <v>0</v>
      </c>
      <c r="E43" s="76">
        <v>0</v>
      </c>
      <c r="F43" s="60">
        <v>0</v>
      </c>
    </row>
    <row r="44" spans="1:6" s="30" customFormat="1" x14ac:dyDescent="0.25">
      <c r="A44" s="47" t="s">
        <v>2</v>
      </c>
      <c r="B44" s="46" t="s">
        <v>218</v>
      </c>
      <c r="C44" s="72"/>
      <c r="D44" s="74">
        <v>0</v>
      </c>
      <c r="E44" s="74">
        <v>0</v>
      </c>
      <c r="F44" s="59">
        <v>0</v>
      </c>
    </row>
    <row r="45" spans="1:6" s="30" customFormat="1" x14ac:dyDescent="0.25">
      <c r="A45" s="49" t="s">
        <v>5</v>
      </c>
      <c r="B45" s="50" t="s">
        <v>134</v>
      </c>
      <c r="C45" s="83"/>
      <c r="D45" s="84">
        <v>0</v>
      </c>
      <c r="E45" s="84">
        <v>0</v>
      </c>
      <c r="F45" s="165">
        <v>0</v>
      </c>
    </row>
    <row r="46" spans="1:6" s="30" customFormat="1" x14ac:dyDescent="0.25">
      <c r="A46" s="49" t="s">
        <v>20</v>
      </c>
      <c r="B46" s="50" t="s">
        <v>135</v>
      </c>
      <c r="C46" s="55"/>
      <c r="D46" s="84">
        <v>0</v>
      </c>
      <c r="E46" s="84">
        <v>0</v>
      </c>
      <c r="F46" s="165">
        <v>0</v>
      </c>
    </row>
    <row r="47" spans="1:6" s="30" customFormat="1" x14ac:dyDescent="0.25">
      <c r="A47" s="49" t="s">
        <v>21</v>
      </c>
      <c r="B47" s="50" t="s">
        <v>136</v>
      </c>
      <c r="C47" s="83"/>
      <c r="D47" s="77">
        <v>0</v>
      </c>
      <c r="E47" s="77">
        <v>0</v>
      </c>
      <c r="F47" s="62">
        <v>0</v>
      </c>
    </row>
    <row r="48" spans="1:6" s="30" customFormat="1" ht="15.75" customHeight="1" x14ac:dyDescent="0.25">
      <c r="A48" s="366" t="s">
        <v>23</v>
      </c>
      <c r="B48" s="367"/>
      <c r="C48" s="367"/>
      <c r="D48" s="79">
        <f>SUM(D43:D47)</f>
        <v>0</v>
      </c>
      <c r="E48" s="79">
        <f>SUM(E43:E47)</f>
        <v>0</v>
      </c>
      <c r="F48" s="63">
        <f>SUM(F43:F47)</f>
        <v>0</v>
      </c>
    </row>
    <row r="49" spans="1:6" s="30" customFormat="1" ht="15.75" customHeight="1" x14ac:dyDescent="0.25">
      <c r="A49" s="370" t="s">
        <v>151</v>
      </c>
      <c r="B49" s="371"/>
      <c r="C49" s="371"/>
      <c r="D49" s="226"/>
      <c r="E49" s="226"/>
      <c r="F49" s="227"/>
    </row>
    <row r="50" spans="1:6" s="30" customFormat="1" ht="15.75" customHeight="1" x14ac:dyDescent="0.25">
      <c r="A50" s="257" t="s">
        <v>141</v>
      </c>
      <c r="B50" s="96" t="s">
        <v>145</v>
      </c>
      <c r="C50" s="258"/>
      <c r="D50" s="64">
        <f>D30</f>
        <v>3885.57</v>
      </c>
      <c r="E50" s="64">
        <f>E30</f>
        <v>3885.57</v>
      </c>
      <c r="F50" s="167">
        <f>F30</f>
        <v>3885.57</v>
      </c>
    </row>
    <row r="51" spans="1:6" s="30" customFormat="1" ht="15.75" customHeight="1" x14ac:dyDescent="0.25">
      <c r="A51" s="257" t="s">
        <v>215</v>
      </c>
      <c r="B51" s="96" t="s">
        <v>146</v>
      </c>
      <c r="C51" s="258"/>
      <c r="D51" s="64">
        <f>D41</f>
        <v>8785.31</v>
      </c>
      <c r="E51" s="64">
        <f>E41</f>
        <v>8785.31</v>
      </c>
      <c r="F51" s="167">
        <f>F41</f>
        <v>8785.31</v>
      </c>
    </row>
    <row r="52" spans="1:6" s="30" customFormat="1" ht="15.75" customHeight="1" x14ac:dyDescent="0.25">
      <c r="A52" s="257" t="s">
        <v>216</v>
      </c>
      <c r="B52" s="96" t="s">
        <v>147</v>
      </c>
      <c r="C52" s="258"/>
      <c r="D52" s="64">
        <f>D48</f>
        <v>0</v>
      </c>
      <c r="E52" s="64">
        <f>E48</f>
        <v>0</v>
      </c>
      <c r="F52" s="167">
        <f>F48</f>
        <v>0</v>
      </c>
    </row>
    <row r="53" spans="1:6" s="30" customFormat="1" ht="15.75" customHeight="1" x14ac:dyDescent="0.25">
      <c r="A53" s="368" t="s">
        <v>153</v>
      </c>
      <c r="B53" s="369"/>
      <c r="C53" s="369"/>
      <c r="D53" s="65">
        <f>SUM(D50:D52)</f>
        <v>12670.88</v>
      </c>
      <c r="E53" s="65">
        <f>SUM(E50:E52)</f>
        <v>12670.88</v>
      </c>
      <c r="F53" s="61">
        <f>SUM(F50:F52)</f>
        <v>12670.88</v>
      </c>
    </row>
    <row r="54" spans="1:6" s="30" customFormat="1" ht="15.75" customHeight="1" x14ac:dyDescent="0.25">
      <c r="A54" s="370" t="s">
        <v>162</v>
      </c>
      <c r="B54" s="371"/>
      <c r="C54" s="371"/>
      <c r="D54" s="226"/>
      <c r="E54" s="226"/>
      <c r="F54" s="227"/>
    </row>
    <row r="55" spans="1:6" s="30" customFormat="1" ht="15.75" customHeight="1" x14ac:dyDescent="0.25">
      <c r="A55" s="251" t="s">
        <v>200</v>
      </c>
      <c r="B55" s="376" t="s">
        <v>32</v>
      </c>
      <c r="C55" s="377"/>
      <c r="D55" s="68" t="s">
        <v>10</v>
      </c>
      <c r="E55" s="68" t="s">
        <v>10</v>
      </c>
      <c r="F55" s="152" t="s">
        <v>10</v>
      </c>
    </row>
    <row r="56" spans="1:6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7">
        <f>D$25*C56</f>
        <v>91.94</v>
      </c>
      <c r="E56" s="77">
        <f>E$25*C56</f>
        <v>91.94</v>
      </c>
      <c r="F56" s="62">
        <f>F$25*C56</f>
        <v>91.94</v>
      </c>
    </row>
    <row r="57" spans="1:6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7">
        <f>D$25*C57</f>
        <v>8</v>
      </c>
      <c r="E57" s="77">
        <f>E$25*C57</f>
        <v>8</v>
      </c>
      <c r="F57" s="62">
        <f>F$25*C57</f>
        <v>8</v>
      </c>
    </row>
    <row r="58" spans="1:6" s="30" customFormat="1" ht="15.75" customHeight="1" x14ac:dyDescent="0.25">
      <c r="A58" s="49" t="s">
        <v>3</v>
      </c>
      <c r="B58" s="50" t="s">
        <v>35</v>
      </c>
      <c r="C58" s="55">
        <v>1.9400000000000001E-2</v>
      </c>
      <c r="D58" s="77">
        <f>D$25*C58</f>
        <v>387.76</v>
      </c>
      <c r="E58" s="77">
        <f>E$25*C58</f>
        <v>387.76</v>
      </c>
      <c r="F58" s="62">
        <f>F$25*C58</f>
        <v>387.76</v>
      </c>
    </row>
    <row r="59" spans="1:6" s="30" customFormat="1" ht="15.75" customHeight="1" x14ac:dyDescent="0.25">
      <c r="A59" s="49" t="s">
        <v>5</v>
      </c>
      <c r="B59" s="97" t="s">
        <v>174</v>
      </c>
      <c r="C59" s="55">
        <v>7.1000000000000004E-3</v>
      </c>
      <c r="D59" s="77">
        <f>D$25*C59</f>
        <v>141.91</v>
      </c>
      <c r="E59" s="77">
        <f>E$25*C59</f>
        <v>141.91</v>
      </c>
      <c r="F59" s="62">
        <f>F$25*C59</f>
        <v>141.91</v>
      </c>
    </row>
    <row r="60" spans="1:6" s="30" customFormat="1" ht="32.25" customHeight="1" x14ac:dyDescent="0.25">
      <c r="A60" s="49" t="s">
        <v>20</v>
      </c>
      <c r="B60" s="50" t="s">
        <v>219</v>
      </c>
      <c r="C60" s="55">
        <v>0.04</v>
      </c>
      <c r="D60" s="77">
        <f>D$25*C60</f>
        <v>799.5</v>
      </c>
      <c r="E60" s="77">
        <f>E$25*C60</f>
        <v>799.5</v>
      </c>
      <c r="F60" s="62">
        <f>F$25*C60</f>
        <v>799.5</v>
      </c>
    </row>
    <row r="61" spans="1:6" s="30" customFormat="1" x14ac:dyDescent="0.25">
      <c r="A61" s="368" t="s">
        <v>154</v>
      </c>
      <c r="B61" s="369"/>
      <c r="C61" s="369"/>
      <c r="D61" s="65">
        <f>SUM(D56:D60)</f>
        <v>1429.11</v>
      </c>
      <c r="E61" s="65">
        <f>SUM(E56:E60)</f>
        <v>1429.11</v>
      </c>
      <c r="F61" s="61">
        <f>SUM(F56:F60)</f>
        <v>1429.11</v>
      </c>
    </row>
    <row r="62" spans="1:6" s="30" customFormat="1" x14ac:dyDescent="0.25">
      <c r="A62" s="370" t="s">
        <v>163</v>
      </c>
      <c r="B62" s="371"/>
      <c r="C62" s="371"/>
      <c r="D62" s="226"/>
      <c r="E62" s="226"/>
      <c r="F62" s="227"/>
    </row>
    <row r="63" spans="1:6" s="30" customFormat="1" x14ac:dyDescent="0.25">
      <c r="A63" s="251" t="s">
        <v>199</v>
      </c>
      <c r="B63" s="380" t="s">
        <v>36</v>
      </c>
      <c r="C63" s="380"/>
      <c r="D63" s="68" t="s">
        <v>10</v>
      </c>
      <c r="E63" s="68" t="s">
        <v>10</v>
      </c>
      <c r="F63" s="152" t="s">
        <v>10</v>
      </c>
    </row>
    <row r="64" spans="1:6" s="30" customFormat="1" x14ac:dyDescent="0.25">
      <c r="A64" s="49" t="s">
        <v>0</v>
      </c>
      <c r="B64" s="50" t="s">
        <v>192</v>
      </c>
      <c r="C64" s="55">
        <v>9.2999999999999992E-3</v>
      </c>
      <c r="D64" s="77">
        <f t="shared" ref="D64:D69" si="0">(D$25+D$53+D$61+D$84)*C64</f>
        <v>317.35000000000002</v>
      </c>
      <c r="E64" s="77">
        <f>(E$25+E$53+E$61+E$84)*C64</f>
        <v>317.35000000000002</v>
      </c>
      <c r="F64" s="62">
        <f t="shared" ref="F64:F69" si="1">(F$25+F$53+F$61+F$84)*C64</f>
        <v>317.35000000000002</v>
      </c>
    </row>
    <row r="65" spans="1:6" s="30" customFormat="1" x14ac:dyDescent="0.25">
      <c r="A65" s="49" t="s">
        <v>2</v>
      </c>
      <c r="B65" s="50" t="s">
        <v>193</v>
      </c>
      <c r="C65" s="55">
        <v>1.66E-2</v>
      </c>
      <c r="D65" s="77">
        <f t="shared" si="0"/>
        <v>566.46</v>
      </c>
      <c r="E65" s="77">
        <f>(E$25+E$53+E$61+E$84)*C65</f>
        <v>566.46</v>
      </c>
      <c r="F65" s="62">
        <f t="shared" si="1"/>
        <v>566.46</v>
      </c>
    </row>
    <row r="66" spans="1:6" s="30" customFormat="1" x14ac:dyDescent="0.25">
      <c r="A66" s="49" t="s">
        <v>3</v>
      </c>
      <c r="B66" s="50" t="s">
        <v>194</v>
      </c>
      <c r="C66" s="55">
        <v>2.0000000000000001E-4</v>
      </c>
      <c r="D66" s="77">
        <f t="shared" si="0"/>
        <v>6.82</v>
      </c>
      <c r="E66" s="77">
        <f>(E$25+E$53+E$61+E$84)*C66</f>
        <v>6.82</v>
      </c>
      <c r="F66" s="62">
        <f t="shared" si="1"/>
        <v>6.82</v>
      </c>
    </row>
    <row r="67" spans="1:6" s="30" customFormat="1" x14ac:dyDescent="0.25">
      <c r="A67" s="49" t="s">
        <v>5</v>
      </c>
      <c r="B67" s="50" t="s">
        <v>195</v>
      </c>
      <c r="C67" s="55">
        <v>2.7000000000000001E-3</v>
      </c>
      <c r="D67" s="77">
        <f t="shared" si="0"/>
        <v>92.14</v>
      </c>
      <c r="E67" s="77">
        <f>(E$25+E$53+E$61+E$84)*C67</f>
        <v>92.14</v>
      </c>
      <c r="F67" s="62">
        <f t="shared" si="1"/>
        <v>92.14</v>
      </c>
    </row>
    <row r="68" spans="1:6" s="30" customFormat="1" x14ac:dyDescent="0.25">
      <c r="A68" s="49" t="s">
        <v>20</v>
      </c>
      <c r="B68" s="50" t="s">
        <v>196</v>
      </c>
      <c r="C68" s="55">
        <v>2.9999999999999997E-4</v>
      </c>
      <c r="D68" s="77">
        <f t="shared" si="0"/>
        <v>10.24</v>
      </c>
      <c r="E68" s="77">
        <f>(E$25+E$53+E$61+E$84)*C68</f>
        <v>10.24</v>
      </c>
      <c r="F68" s="62">
        <f t="shared" si="1"/>
        <v>10.24</v>
      </c>
    </row>
    <row r="69" spans="1:6" s="30" customFormat="1" ht="15.75" customHeight="1" x14ac:dyDescent="0.25">
      <c r="A69" s="49" t="s">
        <v>21</v>
      </c>
      <c r="B69" s="254" t="s">
        <v>197</v>
      </c>
      <c r="C69" s="55">
        <v>0</v>
      </c>
      <c r="D69" s="77">
        <f t="shared" si="0"/>
        <v>0</v>
      </c>
      <c r="E69" s="77">
        <f t="shared" ref="E69" si="2">(E$25+E$53+E$61+E$84)*C69</f>
        <v>0</v>
      </c>
      <c r="F69" s="62">
        <f t="shared" si="1"/>
        <v>0</v>
      </c>
    </row>
    <row r="70" spans="1:6" s="30" customFormat="1" x14ac:dyDescent="0.25">
      <c r="A70" s="366" t="s">
        <v>29</v>
      </c>
      <c r="B70" s="367"/>
      <c r="C70" s="56">
        <f>SUM(C64:C69)</f>
        <v>2.9100000000000001E-2</v>
      </c>
      <c r="D70" s="79">
        <f>SUM(D64:D69)</f>
        <v>993.01</v>
      </c>
      <c r="E70" s="79">
        <f>SUM(E64:E69)</f>
        <v>993.01</v>
      </c>
      <c r="F70" s="63">
        <f>SUM(F64:F69)</f>
        <v>993.01</v>
      </c>
    </row>
    <row r="71" spans="1:6" s="30" customFormat="1" x14ac:dyDescent="0.25">
      <c r="A71" s="257"/>
      <c r="B71" s="258"/>
      <c r="C71" s="71"/>
      <c r="D71" s="71"/>
      <c r="E71" s="74"/>
      <c r="F71" s="59"/>
    </row>
    <row r="72" spans="1:6" s="30" customFormat="1" x14ac:dyDescent="0.25">
      <c r="A72" s="257"/>
      <c r="B72" s="374" t="s">
        <v>201</v>
      </c>
      <c r="C72" s="375"/>
      <c r="D72" s="68" t="s">
        <v>10</v>
      </c>
      <c r="E72" s="68" t="s">
        <v>10</v>
      </c>
      <c r="F72" s="152" t="s">
        <v>10</v>
      </c>
    </row>
    <row r="73" spans="1:6" s="30" customFormat="1" x14ac:dyDescent="0.25">
      <c r="A73" s="47" t="s">
        <v>0</v>
      </c>
      <c r="B73" s="248" t="s">
        <v>202</v>
      </c>
      <c r="C73" s="143">
        <v>0</v>
      </c>
      <c r="D73" s="199">
        <v>0</v>
      </c>
      <c r="E73" s="199">
        <v>0</v>
      </c>
      <c r="F73" s="200">
        <v>0</v>
      </c>
    </row>
    <row r="74" spans="1:6" s="30" customFormat="1" ht="15.75" customHeight="1" x14ac:dyDescent="0.25">
      <c r="A74" s="366" t="s">
        <v>27</v>
      </c>
      <c r="B74" s="367"/>
      <c r="C74" s="93">
        <v>0</v>
      </c>
      <c r="D74" s="79">
        <f>D73</f>
        <v>0</v>
      </c>
      <c r="E74" s="79">
        <f>E73</f>
        <v>0</v>
      </c>
      <c r="F74" s="63">
        <f>F73</f>
        <v>0</v>
      </c>
    </row>
    <row r="75" spans="1:6" s="30" customFormat="1" ht="15.75" customHeight="1" x14ac:dyDescent="0.25">
      <c r="A75" s="370" t="s">
        <v>30</v>
      </c>
      <c r="B75" s="371"/>
      <c r="C75" s="371"/>
      <c r="D75" s="226"/>
      <c r="E75" s="226"/>
      <c r="F75" s="227"/>
    </row>
    <row r="76" spans="1:6" s="30" customFormat="1" ht="15.75" customHeight="1" x14ac:dyDescent="0.25">
      <c r="A76" s="449" t="s">
        <v>203</v>
      </c>
      <c r="B76" s="450"/>
      <c r="C76" s="450"/>
      <c r="D76" s="231"/>
      <c r="E76" s="231"/>
      <c r="F76" s="232"/>
    </row>
    <row r="77" spans="1:6" s="30" customFormat="1" ht="15.75" customHeight="1" x14ac:dyDescent="0.25">
      <c r="A77" s="251">
        <v>4</v>
      </c>
      <c r="B77" s="376" t="s">
        <v>220</v>
      </c>
      <c r="C77" s="377"/>
      <c r="D77" s="68" t="s">
        <v>10</v>
      </c>
      <c r="E77" s="68" t="s">
        <v>10</v>
      </c>
      <c r="F77" s="152" t="s">
        <v>10</v>
      </c>
    </row>
    <row r="78" spans="1:6" s="30" customFormat="1" ht="15.75" customHeight="1" x14ac:dyDescent="0.25">
      <c r="A78" s="49" t="s">
        <v>199</v>
      </c>
      <c r="B78" s="50" t="s">
        <v>198</v>
      </c>
      <c r="C78" s="55">
        <f>C70</f>
        <v>2.9100000000000001E-2</v>
      </c>
      <c r="D78" s="77">
        <f>D70</f>
        <v>993.01</v>
      </c>
      <c r="E78" s="77">
        <f>E70</f>
        <v>993.01</v>
      </c>
      <c r="F78" s="62">
        <f>F70</f>
        <v>993.01</v>
      </c>
    </row>
    <row r="79" spans="1:6" s="30" customFormat="1" ht="15.75" customHeight="1" x14ac:dyDescent="0.25">
      <c r="A79" s="49" t="s">
        <v>221</v>
      </c>
      <c r="B79" s="50" t="s">
        <v>201</v>
      </c>
      <c r="C79" s="55">
        <v>0</v>
      </c>
      <c r="D79" s="77">
        <f>(D$25+D$53+D$61)*C79</f>
        <v>0</v>
      </c>
      <c r="E79" s="77">
        <f>(E$25+E$53+E$61)*C79</f>
        <v>0</v>
      </c>
      <c r="F79" s="62">
        <f>(F$25+F$53+F$61)*C79</f>
        <v>0</v>
      </c>
    </row>
    <row r="80" spans="1:6" s="30" customFormat="1" ht="15.75" customHeight="1" x14ac:dyDescent="0.25">
      <c r="A80" s="366" t="s">
        <v>27</v>
      </c>
      <c r="B80" s="367"/>
      <c r="C80" s="91">
        <f>SUM(C78:C79)</f>
        <v>2.9100000000000001E-2</v>
      </c>
      <c r="D80" s="79">
        <f>SUM(D78:D79)</f>
        <v>993.01</v>
      </c>
      <c r="E80" s="79">
        <f>SUM(E78:E79)</f>
        <v>993.01</v>
      </c>
      <c r="F80" s="63">
        <f>SUM(F78:F79)</f>
        <v>993.01</v>
      </c>
    </row>
    <row r="81" spans="1:6" s="30" customFormat="1" ht="15.75" customHeight="1" x14ac:dyDescent="0.25">
      <c r="A81" s="368" t="s">
        <v>155</v>
      </c>
      <c r="B81" s="369"/>
      <c r="C81" s="369"/>
      <c r="D81" s="65">
        <f>SUM(D74+D80)</f>
        <v>993.01</v>
      </c>
      <c r="E81" s="65">
        <f>SUM(E74+E80)</f>
        <v>993.01</v>
      </c>
      <c r="F81" s="61">
        <f>SUM(F74+F80)</f>
        <v>993.01</v>
      </c>
    </row>
    <row r="82" spans="1:6" s="30" customFormat="1" ht="15.75" customHeight="1" x14ac:dyDescent="0.25">
      <c r="A82" s="268" t="s">
        <v>164</v>
      </c>
      <c r="B82" s="228"/>
      <c r="C82" s="228"/>
      <c r="D82" s="228"/>
      <c r="E82" s="228"/>
      <c r="F82" s="229"/>
    </row>
    <row r="83" spans="1:6" s="30" customFormat="1" ht="15.75" customHeight="1" x14ac:dyDescent="0.25">
      <c r="A83" s="251">
        <v>5</v>
      </c>
      <c r="B83" s="376" t="s">
        <v>24</v>
      </c>
      <c r="C83" s="377"/>
      <c r="D83" s="68" t="s">
        <v>10</v>
      </c>
      <c r="E83" s="68" t="s">
        <v>10</v>
      </c>
      <c r="F83" s="152" t="s">
        <v>10</v>
      </c>
    </row>
    <row r="84" spans="1:6" s="30" customFormat="1" ht="15.75" customHeight="1" x14ac:dyDescent="0.25">
      <c r="A84" s="49" t="s">
        <v>0</v>
      </c>
      <c r="B84" s="390" t="s">
        <v>222</v>
      </c>
      <c r="C84" s="390"/>
      <c r="D84" s="77">
        <f>Uniformes!H7</f>
        <v>36.619999999999997</v>
      </c>
      <c r="E84" s="77">
        <f>Uniformes!H7</f>
        <v>36.619999999999997</v>
      </c>
      <c r="F84" s="59">
        <f>Uniformes!H7</f>
        <v>36.619999999999997</v>
      </c>
    </row>
    <row r="85" spans="1:6" s="30" customFormat="1" ht="15.75" customHeight="1" x14ac:dyDescent="0.25">
      <c r="A85" s="49" t="s">
        <v>2</v>
      </c>
      <c r="B85" s="390" t="s">
        <v>223</v>
      </c>
      <c r="C85" s="390"/>
      <c r="D85" s="77">
        <f>Materiais!H20</f>
        <v>44.57</v>
      </c>
      <c r="E85" s="77">
        <f>Materiais!H21</f>
        <v>44.57</v>
      </c>
      <c r="F85" s="59">
        <f>Materiais!H24</f>
        <v>44.57</v>
      </c>
    </row>
    <row r="86" spans="1:6" s="30" customFormat="1" ht="15.75" customHeight="1" x14ac:dyDescent="0.25">
      <c r="A86" s="49" t="s">
        <v>3</v>
      </c>
      <c r="B86" s="390" t="s">
        <v>187</v>
      </c>
      <c r="C86" s="390"/>
      <c r="D86" s="77">
        <f>Equipamentos!H20</f>
        <v>922.4</v>
      </c>
      <c r="E86" s="77">
        <f>Equipamentos!H21</f>
        <v>922.4</v>
      </c>
      <c r="F86" s="59">
        <f>Equipamentos!H24</f>
        <v>922.4</v>
      </c>
    </row>
    <row r="87" spans="1:6" s="30" customFormat="1" ht="15.75" customHeight="1" x14ac:dyDescent="0.25">
      <c r="A87" s="49" t="s">
        <v>5</v>
      </c>
      <c r="B87" s="390" t="s">
        <v>137</v>
      </c>
      <c r="C87" s="390"/>
      <c r="D87" s="77">
        <v>0</v>
      </c>
      <c r="E87" s="77">
        <v>0</v>
      </c>
      <c r="F87" s="62">
        <v>0</v>
      </c>
    </row>
    <row r="88" spans="1:6" s="30" customFormat="1" ht="15.75" customHeight="1" x14ac:dyDescent="0.25">
      <c r="A88" s="368" t="s">
        <v>156</v>
      </c>
      <c r="B88" s="369"/>
      <c r="C88" s="369"/>
      <c r="D88" s="65">
        <f>SUM(D84:D87)</f>
        <v>1003.59</v>
      </c>
      <c r="E88" s="65">
        <f>SUM(E84:E87)</f>
        <v>1003.59</v>
      </c>
      <c r="F88" s="61">
        <f>SUM(F84:F87)</f>
        <v>1003.59</v>
      </c>
    </row>
    <row r="89" spans="1:6" s="30" customFormat="1" ht="30" customHeight="1" x14ac:dyDescent="0.25">
      <c r="A89" s="389" t="s">
        <v>37</v>
      </c>
      <c r="B89" s="379"/>
      <c r="C89" s="379"/>
      <c r="D89" s="144">
        <f>D88+D81+D61+D53+D25</f>
        <v>36084.11</v>
      </c>
      <c r="E89" s="144">
        <f>E88+E81+E61+E53+E25</f>
        <v>36084.11</v>
      </c>
      <c r="F89" s="201">
        <f>F88+F81+F61+F53+F25</f>
        <v>36084.11</v>
      </c>
    </row>
    <row r="90" spans="1:6" s="30" customFormat="1" ht="19.5" customHeight="1" x14ac:dyDescent="0.25">
      <c r="A90" s="370" t="s">
        <v>165</v>
      </c>
      <c r="B90" s="371"/>
      <c r="C90" s="371"/>
      <c r="D90" s="226"/>
      <c r="E90" s="226"/>
      <c r="F90" s="227"/>
    </row>
    <row r="91" spans="1:6" s="30" customFormat="1" x14ac:dyDescent="0.25">
      <c r="A91" s="251">
        <v>5</v>
      </c>
      <c r="B91" s="376" t="s">
        <v>38</v>
      </c>
      <c r="C91" s="378"/>
      <c r="D91" s="68" t="s">
        <v>10</v>
      </c>
      <c r="E91" s="68" t="s">
        <v>10</v>
      </c>
      <c r="F91" s="152" t="s">
        <v>10</v>
      </c>
    </row>
    <row r="92" spans="1:6" s="30" customFormat="1" x14ac:dyDescent="0.25">
      <c r="A92" s="251" t="s">
        <v>0</v>
      </c>
      <c r="B92" s="50" t="s">
        <v>39</v>
      </c>
      <c r="C92" s="55">
        <v>0.03</v>
      </c>
      <c r="D92" s="77">
        <f>D89*C92</f>
        <v>1082.52</v>
      </c>
      <c r="E92" s="77">
        <f>E89*C92</f>
        <v>1082.52</v>
      </c>
      <c r="F92" s="62">
        <f>F89*C92</f>
        <v>1082.52</v>
      </c>
    </row>
    <row r="93" spans="1:6" s="30" customFormat="1" x14ac:dyDescent="0.25">
      <c r="A93" s="251" t="s">
        <v>2</v>
      </c>
      <c r="B93" s="50" t="s">
        <v>40</v>
      </c>
      <c r="C93" s="55">
        <v>6.7900000000000002E-2</v>
      </c>
      <c r="D93" s="77">
        <f>C93*(D89+D92)</f>
        <v>2523.61</v>
      </c>
      <c r="E93" s="77">
        <f>C93*(E89+E92)</f>
        <v>2523.61</v>
      </c>
      <c r="F93" s="62">
        <f>C93*(F89+F92)</f>
        <v>2523.61</v>
      </c>
    </row>
    <row r="94" spans="1:6" s="30" customFormat="1" ht="31.5" x14ac:dyDescent="0.25">
      <c r="A94" s="384" t="s">
        <v>3</v>
      </c>
      <c r="B94" s="50" t="s">
        <v>50</v>
      </c>
      <c r="C94" s="55">
        <f>1-C102</f>
        <v>0.85750000000000004</v>
      </c>
      <c r="D94" s="77">
        <f>D89+D92+D93</f>
        <v>39690.239999999998</v>
      </c>
      <c r="E94" s="77">
        <f>E89+E92+E93</f>
        <v>39690.239999999998</v>
      </c>
      <c r="F94" s="62">
        <f>F89+F92+F93</f>
        <v>39690.239999999998</v>
      </c>
    </row>
    <row r="95" spans="1:6" s="30" customFormat="1" x14ac:dyDescent="0.25">
      <c r="A95" s="384"/>
      <c r="B95" s="254" t="s">
        <v>41</v>
      </c>
      <c r="C95" s="88"/>
      <c r="D95" s="145">
        <f>+D94/C94</f>
        <v>46285.99</v>
      </c>
      <c r="E95" s="145">
        <f>+E94/C94</f>
        <v>46285.99</v>
      </c>
      <c r="F95" s="202">
        <f>+F94/C94</f>
        <v>46285.99</v>
      </c>
    </row>
    <row r="96" spans="1:6" s="30" customFormat="1" x14ac:dyDescent="0.25">
      <c r="A96" s="384"/>
      <c r="B96" s="254" t="s">
        <v>42</v>
      </c>
      <c r="C96" s="67"/>
      <c r="D96" s="77"/>
      <c r="E96" s="77"/>
      <c r="F96" s="62"/>
    </row>
    <row r="97" spans="1:6" s="30" customFormat="1" x14ac:dyDescent="0.25">
      <c r="A97" s="384"/>
      <c r="B97" s="50" t="s">
        <v>130</v>
      </c>
      <c r="C97" s="55">
        <v>1.6500000000000001E-2</v>
      </c>
      <c r="D97" s="77">
        <f>+D95*C97</f>
        <v>763.72</v>
      </c>
      <c r="E97" s="77">
        <f>+E95*C97</f>
        <v>763.72</v>
      </c>
      <c r="F97" s="62">
        <f>+F95*C97</f>
        <v>763.72</v>
      </c>
    </row>
    <row r="98" spans="1:6" s="30" customFormat="1" x14ac:dyDescent="0.25">
      <c r="A98" s="384"/>
      <c r="B98" s="50" t="s">
        <v>131</v>
      </c>
      <c r="C98" s="55">
        <v>7.5999999999999998E-2</v>
      </c>
      <c r="D98" s="77">
        <f>+D95*C98</f>
        <v>3517.74</v>
      </c>
      <c r="E98" s="77">
        <f>+E95*C98</f>
        <v>3517.74</v>
      </c>
      <c r="F98" s="62">
        <f>+F95*C98</f>
        <v>3517.74</v>
      </c>
    </row>
    <row r="99" spans="1:6" s="30" customFormat="1" x14ac:dyDescent="0.25">
      <c r="A99" s="384"/>
      <c r="B99" s="51" t="s">
        <v>43</v>
      </c>
      <c r="C99" s="88"/>
      <c r="D99" s="77"/>
      <c r="E99" s="77"/>
      <c r="F99" s="62"/>
    </row>
    <row r="100" spans="1:6" s="30" customFormat="1" x14ac:dyDescent="0.25">
      <c r="A100" s="384"/>
      <c r="B100" s="51" t="s">
        <v>44</v>
      </c>
      <c r="C100" s="94"/>
      <c r="D100" s="77"/>
      <c r="E100" s="77"/>
      <c r="F100" s="62"/>
    </row>
    <row r="101" spans="1:6" s="30" customFormat="1" x14ac:dyDescent="0.25">
      <c r="A101" s="384"/>
      <c r="B101" s="50" t="s">
        <v>142</v>
      </c>
      <c r="C101" s="55">
        <v>0.05</v>
      </c>
      <c r="D101" s="77">
        <f>+D95*C101</f>
        <v>2314.3000000000002</v>
      </c>
      <c r="E101" s="77">
        <f>+E95*C101</f>
        <v>2314.3000000000002</v>
      </c>
      <c r="F101" s="62">
        <f>+F95*C101</f>
        <v>2314.3000000000002</v>
      </c>
    </row>
    <row r="102" spans="1:6" s="30" customFormat="1" x14ac:dyDescent="0.25">
      <c r="A102" s="251"/>
      <c r="B102" s="98" t="s">
        <v>45</v>
      </c>
      <c r="C102" s="99">
        <f>SUM(C97:C101)</f>
        <v>0.14249999999999999</v>
      </c>
      <c r="D102" s="100">
        <f>SUM(D97:D101)</f>
        <v>6595.76</v>
      </c>
      <c r="E102" s="100">
        <f>SUM(E97:E101)</f>
        <v>6595.76</v>
      </c>
      <c r="F102" s="170">
        <f>SUM(F97:F101)</f>
        <v>6595.76</v>
      </c>
    </row>
    <row r="103" spans="1:6" s="30" customFormat="1" ht="15.75" customHeight="1" x14ac:dyDescent="0.25">
      <c r="A103" s="366" t="s">
        <v>46</v>
      </c>
      <c r="B103" s="367"/>
      <c r="C103" s="367"/>
      <c r="D103" s="79">
        <f>+D92+D93+D102</f>
        <v>10201.89</v>
      </c>
      <c r="E103" s="79">
        <f>+E92+E93+E102</f>
        <v>10201.89</v>
      </c>
      <c r="F103" s="63">
        <f>+F92+F93+F102</f>
        <v>10201.89</v>
      </c>
    </row>
    <row r="104" spans="1:6" s="30" customFormat="1" ht="15.75" customHeight="1" x14ac:dyDescent="0.25">
      <c r="A104" s="385" t="s">
        <v>47</v>
      </c>
      <c r="B104" s="386"/>
      <c r="C104" s="386"/>
      <c r="D104" s="70" t="s">
        <v>10</v>
      </c>
      <c r="E104" s="70" t="s">
        <v>10</v>
      </c>
      <c r="F104" s="171" t="s">
        <v>10</v>
      </c>
    </row>
    <row r="105" spans="1:6" s="30" customFormat="1" x14ac:dyDescent="0.25">
      <c r="A105" s="49" t="s">
        <v>0</v>
      </c>
      <c r="B105" s="387" t="s">
        <v>48</v>
      </c>
      <c r="C105" s="387"/>
      <c r="D105" s="77">
        <f>D25</f>
        <v>19987.52</v>
      </c>
      <c r="E105" s="77">
        <f>E25</f>
        <v>19987.52</v>
      </c>
      <c r="F105" s="62">
        <f>F25</f>
        <v>19987.52</v>
      </c>
    </row>
    <row r="106" spans="1:6" s="30" customFormat="1" x14ac:dyDescent="0.25">
      <c r="A106" s="49" t="s">
        <v>2</v>
      </c>
      <c r="B106" s="387" t="s">
        <v>159</v>
      </c>
      <c r="C106" s="387"/>
      <c r="D106" s="77">
        <f>D53</f>
        <v>12670.88</v>
      </c>
      <c r="E106" s="77">
        <f>E53</f>
        <v>12670.88</v>
      </c>
      <c r="F106" s="62">
        <f>F53</f>
        <v>12670.88</v>
      </c>
    </row>
    <row r="107" spans="1:6" s="30" customFormat="1" x14ac:dyDescent="0.25">
      <c r="A107" s="49" t="s">
        <v>3</v>
      </c>
      <c r="B107" s="387" t="s">
        <v>157</v>
      </c>
      <c r="C107" s="387"/>
      <c r="D107" s="77">
        <f>D61</f>
        <v>1429.11</v>
      </c>
      <c r="E107" s="77">
        <f>E61</f>
        <v>1429.11</v>
      </c>
      <c r="F107" s="62">
        <f>F61</f>
        <v>1429.11</v>
      </c>
    </row>
    <row r="108" spans="1:6" s="30" customFormat="1" x14ac:dyDescent="0.25">
      <c r="A108" s="49" t="s">
        <v>5</v>
      </c>
      <c r="B108" s="387" t="s">
        <v>150</v>
      </c>
      <c r="C108" s="387"/>
      <c r="D108" s="77">
        <f>D81</f>
        <v>993.01</v>
      </c>
      <c r="E108" s="77">
        <f>E81</f>
        <v>993.01</v>
      </c>
      <c r="F108" s="62">
        <f>F81</f>
        <v>993.01</v>
      </c>
    </row>
    <row r="109" spans="1:6" s="30" customFormat="1" x14ac:dyDescent="0.25">
      <c r="A109" s="49" t="s">
        <v>20</v>
      </c>
      <c r="B109" s="387" t="s">
        <v>158</v>
      </c>
      <c r="C109" s="387"/>
      <c r="D109" s="77">
        <f>D88</f>
        <v>1003.59</v>
      </c>
      <c r="E109" s="77">
        <f>E88</f>
        <v>1003.59</v>
      </c>
      <c r="F109" s="62">
        <f>F88</f>
        <v>1003.59</v>
      </c>
    </row>
    <row r="110" spans="1:6" s="30" customFormat="1" ht="15.75" customHeight="1" x14ac:dyDescent="0.25">
      <c r="A110" s="384" t="s">
        <v>160</v>
      </c>
      <c r="B110" s="388"/>
      <c r="C110" s="388"/>
      <c r="D110" s="100">
        <f>SUM(D105:D109)</f>
        <v>36084.11</v>
      </c>
      <c r="E110" s="100">
        <f>SUM(E105:E109)</f>
        <v>36084.11</v>
      </c>
      <c r="F110" s="170">
        <f>SUM(F105:F109)</f>
        <v>36084.11</v>
      </c>
    </row>
    <row r="111" spans="1:6" s="30" customFormat="1" x14ac:dyDescent="0.25">
      <c r="A111" s="251" t="s">
        <v>20</v>
      </c>
      <c r="B111" s="387" t="s">
        <v>161</v>
      </c>
      <c r="C111" s="387"/>
      <c r="D111" s="77">
        <f>+D103</f>
        <v>10201.89</v>
      </c>
      <c r="E111" s="77">
        <f>+E103</f>
        <v>10201.89</v>
      </c>
      <c r="F111" s="62">
        <f>+F103</f>
        <v>10201.89</v>
      </c>
    </row>
    <row r="112" spans="1:6" s="30" customFormat="1" ht="16.5" customHeight="1" thickBot="1" x14ac:dyDescent="0.3">
      <c r="A112" s="381" t="s">
        <v>49</v>
      </c>
      <c r="B112" s="382"/>
      <c r="C112" s="382"/>
      <c r="D112" s="147">
        <f>+D110+D111</f>
        <v>46286</v>
      </c>
      <c r="E112" s="147">
        <f>+E110+E111</f>
        <v>46286</v>
      </c>
      <c r="F112" s="203">
        <f>+F110+F111</f>
        <v>46286</v>
      </c>
    </row>
    <row r="113" spans="1:6" ht="16.5" customHeight="1" thickBot="1" x14ac:dyDescent="0.3">
      <c r="A113" s="468" t="s">
        <v>234</v>
      </c>
      <c r="B113" s="469"/>
      <c r="C113" s="469"/>
      <c r="D113" s="469"/>
      <c r="E113" s="469"/>
      <c r="F113" s="470"/>
    </row>
    <row r="114" spans="1:6" ht="15.75" customHeight="1" x14ac:dyDescent="0.25">
      <c r="A114" s="454" t="s">
        <v>318</v>
      </c>
      <c r="B114" s="455"/>
      <c r="C114" s="455"/>
      <c r="D114" s="455"/>
      <c r="E114" s="455"/>
      <c r="F114" s="456"/>
    </row>
    <row r="115" spans="1:6" x14ac:dyDescent="0.25">
      <c r="A115" s="457"/>
      <c r="B115" s="458"/>
      <c r="C115" s="458"/>
      <c r="D115" s="458"/>
      <c r="E115" s="458"/>
      <c r="F115" s="459"/>
    </row>
    <row r="116" spans="1:6" x14ac:dyDescent="0.25">
      <c r="A116" s="457"/>
      <c r="B116" s="458"/>
      <c r="C116" s="458"/>
      <c r="D116" s="458"/>
      <c r="E116" s="458"/>
      <c r="F116" s="459"/>
    </row>
    <row r="117" spans="1:6" x14ac:dyDescent="0.25">
      <c r="A117" s="457"/>
      <c r="B117" s="458"/>
      <c r="C117" s="458"/>
      <c r="D117" s="458"/>
      <c r="E117" s="458"/>
      <c r="F117" s="459"/>
    </row>
    <row r="118" spans="1:6" x14ac:dyDescent="0.25">
      <c r="A118" s="457"/>
      <c r="B118" s="458"/>
      <c r="C118" s="458"/>
      <c r="D118" s="458"/>
      <c r="E118" s="458"/>
      <c r="F118" s="459"/>
    </row>
    <row r="119" spans="1:6" x14ac:dyDescent="0.25">
      <c r="A119" s="457"/>
      <c r="B119" s="458"/>
      <c r="C119" s="458"/>
      <c r="D119" s="458"/>
      <c r="E119" s="458"/>
      <c r="F119" s="459"/>
    </row>
    <row r="120" spans="1:6" x14ac:dyDescent="0.25">
      <c r="A120" s="457"/>
      <c r="B120" s="458"/>
      <c r="C120" s="458"/>
      <c r="D120" s="458"/>
      <c r="E120" s="458"/>
      <c r="F120" s="459"/>
    </row>
    <row r="121" spans="1:6" x14ac:dyDescent="0.25">
      <c r="A121" s="457"/>
      <c r="B121" s="458"/>
      <c r="C121" s="458"/>
      <c r="D121" s="458"/>
      <c r="E121" s="458"/>
      <c r="F121" s="459"/>
    </row>
    <row r="122" spans="1:6" ht="16.5" thickBot="1" x14ac:dyDescent="0.3">
      <c r="A122" s="460"/>
      <c r="B122" s="461"/>
      <c r="C122" s="461"/>
      <c r="D122" s="461"/>
      <c r="E122" s="461"/>
      <c r="F122" s="462"/>
    </row>
    <row r="124" spans="1:6" x14ac:dyDescent="0.25">
      <c r="B124" s="28"/>
    </row>
  </sheetData>
  <mergeCells count="63">
    <mergeCell ref="B108:C108"/>
    <mergeCell ref="B109:C109"/>
    <mergeCell ref="A110:C110"/>
    <mergeCell ref="B111:C111"/>
    <mergeCell ref="A9:F9"/>
    <mergeCell ref="A10:F10"/>
    <mergeCell ref="D11:F11"/>
    <mergeCell ref="C12:F12"/>
    <mergeCell ref="C13:F13"/>
    <mergeCell ref="B83:C83"/>
    <mergeCell ref="B63:C63"/>
    <mergeCell ref="A70:B70"/>
    <mergeCell ref="B72:C72"/>
    <mergeCell ref="A74:B74"/>
    <mergeCell ref="B77:C77"/>
    <mergeCell ref="A80:B80"/>
    <mergeCell ref="A113:F113"/>
    <mergeCell ref="B105:C105"/>
    <mergeCell ref="B84:C84"/>
    <mergeCell ref="B85:C85"/>
    <mergeCell ref="B86:C86"/>
    <mergeCell ref="B87:C87"/>
    <mergeCell ref="A88:C88"/>
    <mergeCell ref="A89:C89"/>
    <mergeCell ref="B91:C91"/>
    <mergeCell ref="A94:A101"/>
    <mergeCell ref="A103:C103"/>
    <mergeCell ref="A104:C104"/>
    <mergeCell ref="A90:C90"/>
    <mergeCell ref="A112:C112"/>
    <mergeCell ref="B106:C106"/>
    <mergeCell ref="B107:C107"/>
    <mergeCell ref="A81:C81"/>
    <mergeCell ref="A62:C62"/>
    <mergeCell ref="A75:C75"/>
    <mergeCell ref="A76:C76"/>
    <mergeCell ref="A61:C61"/>
    <mergeCell ref="B27:C27"/>
    <mergeCell ref="A30:B30"/>
    <mergeCell ref="B32:C32"/>
    <mergeCell ref="A41:B41"/>
    <mergeCell ref="B42:C42"/>
    <mergeCell ref="A48:C48"/>
    <mergeCell ref="A53:C53"/>
    <mergeCell ref="B55:C55"/>
    <mergeCell ref="A49:C49"/>
    <mergeCell ref="A54:C54"/>
    <mergeCell ref="A114:F122"/>
    <mergeCell ref="C7:F7"/>
    <mergeCell ref="A8:F8"/>
    <mergeCell ref="A1:F1"/>
    <mergeCell ref="A2:F2"/>
    <mergeCell ref="A3:F3"/>
    <mergeCell ref="C4:F4"/>
    <mergeCell ref="C5:F5"/>
    <mergeCell ref="C6:F6"/>
    <mergeCell ref="A26:C26"/>
    <mergeCell ref="A11:C11"/>
    <mergeCell ref="A16:C16"/>
    <mergeCell ref="B17:C17"/>
    <mergeCell ref="A25:C25"/>
    <mergeCell ref="C14:F14"/>
    <mergeCell ref="C15:F1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71" t="s">
        <v>230</v>
      </c>
      <c r="B1" s="472"/>
      <c r="C1" s="472"/>
      <c r="D1" s="472"/>
      <c r="E1" s="472"/>
      <c r="F1" s="472"/>
      <c r="G1" s="472"/>
      <c r="H1" s="473"/>
    </row>
    <row r="2" spans="1:8" ht="30" customHeight="1" x14ac:dyDescent="0.25">
      <c r="A2" s="115" t="s">
        <v>166</v>
      </c>
      <c r="B2" s="113" t="s">
        <v>186</v>
      </c>
      <c r="C2" s="113" t="s">
        <v>276</v>
      </c>
      <c r="D2" s="113" t="s">
        <v>168</v>
      </c>
      <c r="E2" s="235" t="s">
        <v>298</v>
      </c>
      <c r="F2" s="113" t="s">
        <v>169</v>
      </c>
      <c r="G2" s="113" t="s">
        <v>226</v>
      </c>
      <c r="H2" s="116" t="s">
        <v>172</v>
      </c>
    </row>
    <row r="3" spans="1:8" ht="15" customHeight="1" x14ac:dyDescent="0.25">
      <c r="A3" s="219">
        <v>1</v>
      </c>
      <c r="B3" s="210" t="s">
        <v>279</v>
      </c>
      <c r="C3" s="210" t="s">
        <v>277</v>
      </c>
      <c r="D3" s="210">
        <v>2</v>
      </c>
      <c r="E3" s="210">
        <f>D3*2</f>
        <v>4</v>
      </c>
      <c r="F3" s="218">
        <v>47.92</v>
      </c>
      <c r="G3" s="212">
        <f>F3*E3</f>
        <v>191.68</v>
      </c>
      <c r="H3" s="220">
        <f>G3/12</f>
        <v>15.97</v>
      </c>
    </row>
    <row r="4" spans="1:8" ht="15" customHeight="1" x14ac:dyDescent="0.25">
      <c r="A4" s="219">
        <f>A3+1</f>
        <v>2</v>
      </c>
      <c r="B4" s="213" t="s">
        <v>280</v>
      </c>
      <c r="C4" s="210" t="s">
        <v>277</v>
      </c>
      <c r="D4" s="211">
        <v>2</v>
      </c>
      <c r="E4" s="210">
        <f>D4*2</f>
        <v>4</v>
      </c>
      <c r="F4" s="212">
        <v>36.46</v>
      </c>
      <c r="G4" s="212">
        <f>F4*E4</f>
        <v>145.84</v>
      </c>
      <c r="H4" s="220">
        <f>G4/12</f>
        <v>12.15</v>
      </c>
    </row>
    <row r="5" spans="1:8" ht="15" customHeight="1" x14ac:dyDescent="0.25">
      <c r="A5" s="219">
        <f>A4+1</f>
        <v>3</v>
      </c>
      <c r="B5" s="213" t="s">
        <v>278</v>
      </c>
      <c r="C5" s="210" t="s">
        <v>277</v>
      </c>
      <c r="D5" s="211">
        <v>1</v>
      </c>
      <c r="E5" s="210">
        <f>D5*2</f>
        <v>2</v>
      </c>
      <c r="F5" s="212">
        <v>2.98</v>
      </c>
      <c r="G5" s="212">
        <f>F5*E5</f>
        <v>5.96</v>
      </c>
      <c r="H5" s="220">
        <f>G5/12</f>
        <v>0.5</v>
      </c>
    </row>
    <row r="6" spans="1:8" ht="15" customHeight="1" thickBot="1" x14ac:dyDescent="0.3">
      <c r="A6" s="221">
        <v>4</v>
      </c>
      <c r="B6" s="214" t="s">
        <v>275</v>
      </c>
      <c r="C6" s="215" t="s">
        <v>277</v>
      </c>
      <c r="D6" s="216">
        <v>1</v>
      </c>
      <c r="E6" s="215">
        <f t="shared" ref="E6" si="0">D6*2</f>
        <v>2</v>
      </c>
      <c r="F6" s="217">
        <v>48</v>
      </c>
      <c r="G6" s="217">
        <f>F6*E6</f>
        <v>96</v>
      </c>
      <c r="H6" s="222">
        <f>G6/12</f>
        <v>8</v>
      </c>
    </row>
    <row r="7" spans="1:8" ht="15" customHeight="1" thickBot="1" x14ac:dyDescent="0.3">
      <c r="A7" s="474" t="s">
        <v>231</v>
      </c>
      <c r="B7" s="475"/>
      <c r="C7" s="475"/>
      <c r="D7" s="475"/>
      <c r="E7" s="475"/>
      <c r="F7" s="475"/>
      <c r="G7" s="476"/>
      <c r="H7" s="121">
        <f>SUM(H3:H6)</f>
        <v>36.619999999999997</v>
      </c>
    </row>
    <row r="8" spans="1:8" ht="15.75" thickBot="1" x14ac:dyDescent="0.3">
      <c r="A8" s="477" t="s">
        <v>247</v>
      </c>
      <c r="B8" s="478"/>
      <c r="C8" s="478"/>
      <c r="D8" s="478"/>
      <c r="E8" s="478"/>
      <c r="F8" s="478"/>
      <c r="G8" s="478"/>
      <c r="H8" s="479"/>
    </row>
    <row r="9" spans="1:8" ht="15" customHeight="1" x14ac:dyDescent="0.25">
      <c r="A9" s="480" t="s">
        <v>286</v>
      </c>
      <c r="B9" s="481"/>
      <c r="C9" s="481"/>
      <c r="D9" s="481"/>
      <c r="E9" s="481"/>
      <c r="F9" s="481"/>
      <c r="G9" s="481"/>
      <c r="H9" s="482"/>
    </row>
    <row r="10" spans="1:8" x14ac:dyDescent="0.25">
      <c r="A10" s="483"/>
      <c r="B10" s="484"/>
      <c r="C10" s="484"/>
      <c r="D10" s="484"/>
      <c r="E10" s="484"/>
      <c r="F10" s="484"/>
      <c r="G10" s="484"/>
      <c r="H10" s="485"/>
    </row>
    <row r="11" spans="1:8" x14ac:dyDescent="0.25">
      <c r="A11" s="483"/>
      <c r="B11" s="484"/>
      <c r="C11" s="484"/>
      <c r="D11" s="484"/>
      <c r="E11" s="484"/>
      <c r="F11" s="484"/>
      <c r="G11" s="484"/>
      <c r="H11" s="485"/>
    </row>
    <row r="12" spans="1:8" x14ac:dyDescent="0.25">
      <c r="A12" s="483"/>
      <c r="B12" s="484"/>
      <c r="C12" s="484"/>
      <c r="D12" s="484"/>
      <c r="E12" s="484"/>
      <c r="F12" s="484"/>
      <c r="G12" s="484"/>
      <c r="H12" s="485"/>
    </row>
    <row r="13" spans="1:8" x14ac:dyDescent="0.25">
      <c r="A13" s="483"/>
      <c r="B13" s="484"/>
      <c r="C13" s="484"/>
      <c r="D13" s="484"/>
      <c r="E13" s="484"/>
      <c r="F13" s="484"/>
      <c r="G13" s="484"/>
      <c r="H13" s="485"/>
    </row>
    <row r="14" spans="1:8" x14ac:dyDescent="0.25">
      <c r="A14" s="483"/>
      <c r="B14" s="484"/>
      <c r="C14" s="484"/>
      <c r="D14" s="484"/>
      <c r="E14" s="484"/>
      <c r="F14" s="484"/>
      <c r="G14" s="484"/>
      <c r="H14" s="485"/>
    </row>
    <row r="15" spans="1:8" x14ac:dyDescent="0.25">
      <c r="A15" s="483"/>
      <c r="B15" s="484"/>
      <c r="C15" s="484"/>
      <c r="D15" s="484"/>
      <c r="E15" s="484"/>
      <c r="F15" s="484"/>
      <c r="G15" s="484"/>
      <c r="H15" s="485"/>
    </row>
    <row r="16" spans="1:8" x14ac:dyDescent="0.25">
      <c r="A16" s="483"/>
      <c r="B16" s="484"/>
      <c r="C16" s="484"/>
      <c r="D16" s="484"/>
      <c r="E16" s="484"/>
      <c r="F16" s="484"/>
      <c r="G16" s="484"/>
      <c r="H16" s="485"/>
    </row>
    <row r="17" spans="1:8" x14ac:dyDescent="0.25">
      <c r="A17" s="483"/>
      <c r="B17" s="484"/>
      <c r="C17" s="484"/>
      <c r="D17" s="484"/>
      <c r="E17" s="484"/>
      <c r="F17" s="484"/>
      <c r="G17" s="484"/>
      <c r="H17" s="485"/>
    </row>
    <row r="18" spans="1:8" x14ac:dyDescent="0.25">
      <c r="A18" s="483"/>
      <c r="B18" s="484"/>
      <c r="C18" s="484"/>
      <c r="D18" s="484"/>
      <c r="E18" s="484"/>
      <c r="F18" s="484"/>
      <c r="G18" s="484"/>
      <c r="H18" s="485"/>
    </row>
    <row r="19" spans="1:8" x14ac:dyDescent="0.25">
      <c r="A19" s="483"/>
      <c r="B19" s="484"/>
      <c r="C19" s="484"/>
      <c r="D19" s="484"/>
      <c r="E19" s="484"/>
      <c r="F19" s="484"/>
      <c r="G19" s="484"/>
      <c r="H19" s="485"/>
    </row>
    <row r="20" spans="1:8" x14ac:dyDescent="0.25">
      <c r="A20" s="483"/>
      <c r="B20" s="484"/>
      <c r="C20" s="484"/>
      <c r="D20" s="484"/>
      <c r="E20" s="484"/>
      <c r="F20" s="484"/>
      <c r="G20" s="484"/>
      <c r="H20" s="485"/>
    </row>
    <row r="21" spans="1:8" x14ac:dyDescent="0.25">
      <c r="A21" s="483"/>
      <c r="B21" s="484"/>
      <c r="C21" s="484"/>
      <c r="D21" s="484"/>
      <c r="E21" s="484"/>
      <c r="F21" s="484"/>
      <c r="G21" s="484"/>
      <c r="H21" s="485"/>
    </row>
    <row r="22" spans="1:8" ht="15.75" thickBot="1" x14ac:dyDescent="0.3">
      <c r="A22" s="486"/>
      <c r="B22" s="487"/>
      <c r="C22" s="487"/>
      <c r="D22" s="487"/>
      <c r="E22" s="487"/>
      <c r="F22" s="487"/>
      <c r="G22" s="487"/>
      <c r="H22" s="488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Normal="100" zoomScaleSheetLayoutView="100" workbookViewId="0">
      <selection activeCell="I23" sqref="I23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89" t="s">
        <v>256</v>
      </c>
      <c r="B1" s="490"/>
      <c r="C1" s="490"/>
      <c r="D1" s="490"/>
      <c r="E1" s="490"/>
      <c r="F1" s="490"/>
      <c r="G1" s="490"/>
      <c r="H1" s="491"/>
    </row>
    <row r="2" spans="1:8" ht="15" customHeight="1" thickBot="1" x14ac:dyDescent="0.3">
      <c r="A2" s="492" t="s">
        <v>253</v>
      </c>
      <c r="B2" s="493"/>
      <c r="C2" s="493"/>
      <c r="D2" s="493"/>
      <c r="E2" s="493"/>
      <c r="F2" s="493"/>
      <c r="G2" s="493"/>
      <c r="H2" s="494"/>
    </row>
    <row r="3" spans="1:8" ht="30" customHeight="1" thickBot="1" x14ac:dyDescent="0.3">
      <c r="A3" s="307" t="s">
        <v>166</v>
      </c>
      <c r="B3" s="308" t="s">
        <v>254</v>
      </c>
      <c r="C3" s="308" t="s">
        <v>167</v>
      </c>
      <c r="D3" s="308" t="s">
        <v>319</v>
      </c>
      <c r="E3" s="308" t="s">
        <v>298</v>
      </c>
      <c r="F3" s="308" t="s">
        <v>169</v>
      </c>
      <c r="G3" s="308" t="s">
        <v>226</v>
      </c>
      <c r="H3" s="309" t="s">
        <v>172</v>
      </c>
    </row>
    <row r="4" spans="1:8" ht="249.95" customHeight="1" thickBot="1" x14ac:dyDescent="0.3">
      <c r="A4" s="299">
        <v>1</v>
      </c>
      <c r="B4" s="300" t="s">
        <v>283</v>
      </c>
      <c r="C4" s="301" t="s">
        <v>167</v>
      </c>
      <c r="D4" s="302">
        <v>1</v>
      </c>
      <c r="E4" s="302">
        <f>D4</f>
        <v>1</v>
      </c>
      <c r="F4" s="303">
        <f>(Equipamentos!F8*1%)</f>
        <v>3600</v>
      </c>
      <c r="G4" s="303">
        <f>F4*E4</f>
        <v>3600</v>
      </c>
      <c r="H4" s="304">
        <f>G4/12</f>
        <v>300</v>
      </c>
    </row>
    <row r="5" spans="1:8" ht="30" customHeight="1" thickBot="1" x14ac:dyDescent="0.3">
      <c r="A5" s="321" t="s">
        <v>166</v>
      </c>
      <c r="B5" s="322" t="s">
        <v>254</v>
      </c>
      <c r="C5" s="322" t="s">
        <v>167</v>
      </c>
      <c r="D5" s="322" t="s">
        <v>319</v>
      </c>
      <c r="E5" s="322" t="s">
        <v>298</v>
      </c>
      <c r="F5" s="322" t="s">
        <v>321</v>
      </c>
      <c r="G5" s="322" t="s">
        <v>226</v>
      </c>
      <c r="H5" s="323" t="s">
        <v>172</v>
      </c>
    </row>
    <row r="6" spans="1:8" ht="30" customHeight="1" x14ac:dyDescent="0.25">
      <c r="A6" s="318">
        <v>2</v>
      </c>
      <c r="B6" s="319" t="s">
        <v>320</v>
      </c>
      <c r="C6" s="315" t="s">
        <v>322</v>
      </c>
      <c r="D6" s="320">
        <v>3.5</v>
      </c>
      <c r="E6" s="320">
        <f>D6*12</f>
        <v>42</v>
      </c>
      <c r="F6" s="316">
        <v>27.66</v>
      </c>
      <c r="G6" s="316">
        <f>F6*E6</f>
        <v>1161.72</v>
      </c>
      <c r="H6" s="317">
        <f>G6/12</f>
        <v>96.81</v>
      </c>
    </row>
    <row r="7" spans="1:8" ht="30" customHeight="1" thickBot="1" x14ac:dyDescent="0.3">
      <c r="A7" s="310">
        <v>3</v>
      </c>
      <c r="B7" s="311" t="s">
        <v>323</v>
      </c>
      <c r="C7" s="312" t="s">
        <v>322</v>
      </c>
      <c r="D7" s="313">
        <v>3.5</v>
      </c>
      <c r="E7" s="313">
        <f>D7*12</f>
        <v>42</v>
      </c>
      <c r="F7" s="314">
        <v>34.79</v>
      </c>
      <c r="G7" s="314">
        <f>F7*E7</f>
        <v>1461.18</v>
      </c>
      <c r="H7" s="185">
        <f>G7/12</f>
        <v>121.77</v>
      </c>
    </row>
    <row r="8" spans="1:8" ht="15" customHeight="1" thickBot="1" x14ac:dyDescent="0.3">
      <c r="A8" s="516"/>
      <c r="B8" s="517"/>
      <c r="C8" s="517"/>
      <c r="D8" s="517"/>
      <c r="E8" s="517"/>
      <c r="F8" s="517"/>
      <c r="G8" s="518"/>
      <c r="H8" s="298">
        <f>SUM(H4:H7)</f>
        <v>518.58000000000004</v>
      </c>
    </row>
    <row r="9" spans="1:8" ht="15" customHeight="1" thickBot="1" x14ac:dyDescent="0.3">
      <c r="A9" s="495"/>
      <c r="B9" s="496"/>
      <c r="C9" s="496"/>
      <c r="D9" s="496"/>
      <c r="E9" s="496"/>
      <c r="F9" s="496"/>
      <c r="G9" s="496"/>
      <c r="H9" s="497"/>
    </row>
    <row r="10" spans="1:8" ht="15" customHeight="1" thickBot="1" x14ac:dyDescent="0.3">
      <c r="A10" s="492" t="s">
        <v>255</v>
      </c>
      <c r="B10" s="493"/>
      <c r="C10" s="493"/>
      <c r="D10" s="493"/>
      <c r="E10" s="493"/>
      <c r="F10" s="493"/>
      <c r="G10" s="493"/>
      <c r="H10" s="494"/>
    </row>
    <row r="11" spans="1:8" ht="30" customHeight="1" thickBot="1" x14ac:dyDescent="0.3">
      <c r="A11" s="307" t="s">
        <v>166</v>
      </c>
      <c r="B11" s="308" t="s">
        <v>254</v>
      </c>
      <c r="C11" s="308" t="s">
        <v>167</v>
      </c>
      <c r="D11" s="308" t="s">
        <v>319</v>
      </c>
      <c r="E11" s="308" t="s">
        <v>298</v>
      </c>
      <c r="F11" s="308" t="s">
        <v>169</v>
      </c>
      <c r="G11" s="308" t="s">
        <v>226</v>
      </c>
      <c r="H11" s="309" t="s">
        <v>172</v>
      </c>
    </row>
    <row r="12" spans="1:8" ht="350.1" customHeight="1" thickBot="1" x14ac:dyDescent="0.3">
      <c r="A12" s="305">
        <v>1</v>
      </c>
      <c r="B12" s="306" t="s">
        <v>284</v>
      </c>
      <c r="C12" s="301" t="s">
        <v>167</v>
      </c>
      <c r="D12" s="301">
        <v>1</v>
      </c>
      <c r="E12" s="302">
        <f>D12</f>
        <v>1</v>
      </c>
      <c r="F12" s="303">
        <f>(Equipamentos!F16*1%)</f>
        <v>3795</v>
      </c>
      <c r="G12" s="303">
        <f>F12*E12</f>
        <v>3795</v>
      </c>
      <c r="H12" s="304">
        <f>G12/12</f>
        <v>316.25</v>
      </c>
    </row>
    <row r="13" spans="1:8" ht="30" customHeight="1" thickBot="1" x14ac:dyDescent="0.3">
      <c r="A13" s="321" t="s">
        <v>166</v>
      </c>
      <c r="B13" s="322" t="s">
        <v>254</v>
      </c>
      <c r="C13" s="322" t="s">
        <v>167</v>
      </c>
      <c r="D13" s="322" t="s">
        <v>319</v>
      </c>
      <c r="E13" s="322" t="s">
        <v>298</v>
      </c>
      <c r="F13" s="322" t="s">
        <v>321</v>
      </c>
      <c r="G13" s="322" t="s">
        <v>226</v>
      </c>
      <c r="H13" s="323" t="s">
        <v>172</v>
      </c>
    </row>
    <row r="14" spans="1:8" ht="30" customHeight="1" x14ac:dyDescent="0.25">
      <c r="A14" s="318">
        <v>2</v>
      </c>
      <c r="B14" s="319" t="s">
        <v>320</v>
      </c>
      <c r="C14" s="315" t="s">
        <v>322</v>
      </c>
      <c r="D14" s="320">
        <v>3.5</v>
      </c>
      <c r="E14" s="320">
        <f>D14*12</f>
        <v>42</v>
      </c>
      <c r="F14" s="316">
        <v>27.66</v>
      </c>
      <c r="G14" s="316">
        <f>F14*E14</f>
        <v>1161.72</v>
      </c>
      <c r="H14" s="317">
        <f>G14/12</f>
        <v>96.81</v>
      </c>
    </row>
    <row r="15" spans="1:8" ht="30" customHeight="1" thickBot="1" x14ac:dyDescent="0.3">
      <c r="A15" s="310">
        <v>3</v>
      </c>
      <c r="B15" s="311" t="s">
        <v>323</v>
      </c>
      <c r="C15" s="312" t="s">
        <v>322</v>
      </c>
      <c r="D15" s="313">
        <v>3.5</v>
      </c>
      <c r="E15" s="313">
        <f>D15*12</f>
        <v>42</v>
      </c>
      <c r="F15" s="314">
        <v>34.79</v>
      </c>
      <c r="G15" s="314">
        <f>F15*E15</f>
        <v>1461.18</v>
      </c>
      <c r="H15" s="185">
        <f>G15/12</f>
        <v>121.77</v>
      </c>
    </row>
    <row r="16" spans="1:8" ht="15" customHeight="1" thickBot="1" x14ac:dyDescent="0.3">
      <c r="A16" s="519"/>
      <c r="B16" s="520"/>
      <c r="C16" s="520"/>
      <c r="D16" s="520"/>
      <c r="E16" s="520"/>
      <c r="F16" s="520"/>
      <c r="G16" s="521"/>
      <c r="H16" s="298">
        <f>SUM(H12:H15)</f>
        <v>534.83000000000004</v>
      </c>
    </row>
    <row r="17" spans="1:8" ht="15.75" thickBot="1" x14ac:dyDescent="0.3">
      <c r="A17" s="498"/>
      <c r="B17" s="499"/>
      <c r="C17" s="499"/>
      <c r="D17" s="499"/>
      <c r="E17" s="499"/>
      <c r="F17" s="499"/>
      <c r="G17" s="499"/>
      <c r="H17" s="500"/>
    </row>
    <row r="18" spans="1:8" ht="15.75" thickBot="1" x14ac:dyDescent="0.3">
      <c r="A18" s="501" t="s">
        <v>306</v>
      </c>
      <c r="B18" s="502"/>
      <c r="C18" s="502"/>
      <c r="D18" s="502"/>
      <c r="E18" s="502"/>
      <c r="F18" s="502"/>
      <c r="G18" s="503"/>
      <c r="H18" s="111">
        <f>H8/8</f>
        <v>64.819999999999993</v>
      </c>
    </row>
    <row r="19" spans="1:8" ht="15.75" thickBot="1" x14ac:dyDescent="0.3">
      <c r="A19" s="501" t="s">
        <v>244</v>
      </c>
      <c r="B19" s="502"/>
      <c r="C19" s="502"/>
      <c r="D19" s="502"/>
      <c r="E19" s="502"/>
      <c r="F19" s="502"/>
      <c r="G19" s="503"/>
      <c r="H19" s="111">
        <f>H8/8</f>
        <v>64.819999999999993</v>
      </c>
    </row>
    <row r="20" spans="1:8" ht="15.75" thickBot="1" x14ac:dyDescent="0.3">
      <c r="A20" s="501" t="s">
        <v>307</v>
      </c>
      <c r="B20" s="502"/>
      <c r="C20" s="502"/>
      <c r="D20" s="502"/>
      <c r="E20" s="502"/>
      <c r="F20" s="502"/>
      <c r="G20" s="503"/>
      <c r="H20" s="111">
        <f>H16/12</f>
        <v>44.57</v>
      </c>
    </row>
    <row r="21" spans="1:8" ht="15.75" thickBot="1" x14ac:dyDescent="0.3">
      <c r="A21" s="501" t="s">
        <v>243</v>
      </c>
      <c r="B21" s="502"/>
      <c r="C21" s="502"/>
      <c r="D21" s="502"/>
      <c r="E21" s="502"/>
      <c r="F21" s="502"/>
      <c r="G21" s="503"/>
      <c r="H21" s="111">
        <f>H16/12</f>
        <v>44.57</v>
      </c>
    </row>
    <row r="22" spans="1:8" ht="15.75" thickBot="1" x14ac:dyDescent="0.3">
      <c r="A22" s="501" t="s">
        <v>306</v>
      </c>
      <c r="B22" s="502"/>
      <c r="C22" s="502"/>
      <c r="D22" s="502"/>
      <c r="E22" s="502"/>
      <c r="F22" s="502"/>
      <c r="G22" s="503"/>
      <c r="H22" s="111">
        <f>H8/4</f>
        <v>129.65</v>
      </c>
    </row>
    <row r="23" spans="1:8" ht="15.75" thickBot="1" x14ac:dyDescent="0.3">
      <c r="A23" s="501" t="s">
        <v>313</v>
      </c>
      <c r="B23" s="502"/>
      <c r="C23" s="502"/>
      <c r="D23" s="502"/>
      <c r="E23" s="502"/>
      <c r="F23" s="502"/>
      <c r="G23" s="503"/>
      <c r="H23" s="111">
        <f>H8/8</f>
        <v>64.819999999999993</v>
      </c>
    </row>
    <row r="24" spans="1:8" ht="15" customHeight="1" thickBot="1" x14ac:dyDescent="0.3">
      <c r="A24" s="501" t="s">
        <v>314</v>
      </c>
      <c r="B24" s="502"/>
      <c r="C24" s="502"/>
      <c r="D24" s="502"/>
      <c r="E24" s="502"/>
      <c r="F24" s="502"/>
      <c r="G24" s="503"/>
      <c r="H24" s="111">
        <f>H16/12</f>
        <v>44.57</v>
      </c>
    </row>
    <row r="25" spans="1:8" ht="15.75" thickBot="1" x14ac:dyDescent="0.3">
      <c r="A25" s="504" t="s">
        <v>247</v>
      </c>
      <c r="B25" s="505"/>
      <c r="C25" s="505"/>
      <c r="D25" s="505"/>
      <c r="E25" s="505"/>
      <c r="F25" s="505"/>
      <c r="G25" s="505"/>
      <c r="H25" s="506"/>
    </row>
    <row r="26" spans="1:8" x14ac:dyDescent="0.25">
      <c r="A26" s="507" t="s">
        <v>304</v>
      </c>
      <c r="B26" s="508"/>
      <c r="C26" s="508"/>
      <c r="D26" s="508"/>
      <c r="E26" s="508"/>
      <c r="F26" s="508"/>
      <c r="G26" s="508"/>
      <c r="H26" s="509"/>
    </row>
    <row r="27" spans="1:8" x14ac:dyDescent="0.25">
      <c r="A27" s="510"/>
      <c r="B27" s="511"/>
      <c r="C27" s="511"/>
      <c r="D27" s="511"/>
      <c r="E27" s="511"/>
      <c r="F27" s="511"/>
      <c r="G27" s="511"/>
      <c r="H27" s="512"/>
    </row>
    <row r="28" spans="1:8" x14ac:dyDescent="0.25">
      <c r="A28" s="510"/>
      <c r="B28" s="511"/>
      <c r="C28" s="511"/>
      <c r="D28" s="511"/>
      <c r="E28" s="511"/>
      <c r="F28" s="511"/>
      <c r="G28" s="511"/>
      <c r="H28" s="512"/>
    </row>
    <row r="29" spans="1:8" x14ac:dyDescent="0.25">
      <c r="A29" s="510"/>
      <c r="B29" s="511"/>
      <c r="C29" s="511"/>
      <c r="D29" s="511"/>
      <c r="E29" s="511"/>
      <c r="F29" s="511"/>
      <c r="G29" s="511"/>
      <c r="H29" s="512"/>
    </row>
    <row r="30" spans="1:8" ht="15.75" thickBot="1" x14ac:dyDescent="0.3">
      <c r="A30" s="513"/>
      <c r="B30" s="514"/>
      <c r="C30" s="514"/>
      <c r="D30" s="514"/>
      <c r="E30" s="514"/>
      <c r="F30" s="514"/>
      <c r="G30" s="514"/>
      <c r="H30" s="515"/>
    </row>
  </sheetData>
  <mergeCells count="16">
    <mergeCell ref="A21:G21"/>
    <mergeCell ref="A25:H25"/>
    <mergeCell ref="A26:H30"/>
    <mergeCell ref="A22:G22"/>
    <mergeCell ref="A8:G8"/>
    <mergeCell ref="A16:G16"/>
    <mergeCell ref="A20:G20"/>
    <mergeCell ref="A18:G18"/>
    <mergeCell ref="A19:G19"/>
    <mergeCell ref="A23:G23"/>
    <mergeCell ref="A24:G24"/>
    <mergeCell ref="A1:H1"/>
    <mergeCell ref="A2:H2"/>
    <mergeCell ref="A9:H9"/>
    <mergeCell ref="A10:H10"/>
    <mergeCell ref="A17:H1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489" t="s">
        <v>170</v>
      </c>
      <c r="B1" s="490"/>
      <c r="C1" s="490"/>
      <c r="D1" s="490"/>
      <c r="E1" s="490"/>
      <c r="F1" s="490"/>
      <c r="G1" s="490"/>
      <c r="H1" s="491"/>
    </row>
    <row r="2" spans="1:8" ht="15" customHeight="1" thickBot="1" x14ac:dyDescent="0.3">
      <c r="A2" s="492" t="s">
        <v>248</v>
      </c>
      <c r="B2" s="493"/>
      <c r="C2" s="493"/>
      <c r="D2" s="493"/>
      <c r="E2" s="493"/>
      <c r="F2" s="493"/>
      <c r="G2" s="493"/>
      <c r="H2" s="494"/>
    </row>
    <row r="3" spans="1:8" ht="15" customHeight="1" x14ac:dyDescent="0.25">
      <c r="A3" s="176" t="s">
        <v>166</v>
      </c>
      <c r="B3" s="177" t="s">
        <v>251</v>
      </c>
      <c r="C3" s="177" t="s">
        <v>167</v>
      </c>
      <c r="D3" s="177" t="s">
        <v>168</v>
      </c>
      <c r="E3" s="177" t="s">
        <v>171</v>
      </c>
      <c r="F3" s="177" t="s">
        <v>169</v>
      </c>
      <c r="G3" s="177" t="s">
        <v>226</v>
      </c>
      <c r="H3" s="178" t="s">
        <v>172</v>
      </c>
    </row>
    <row r="4" spans="1:8" ht="45" customHeight="1" x14ac:dyDescent="0.25">
      <c r="A4" s="119">
        <v>1</v>
      </c>
      <c r="B4" s="120" t="s">
        <v>252</v>
      </c>
      <c r="C4" s="95" t="s">
        <v>167</v>
      </c>
      <c r="D4" s="112">
        <v>1</v>
      </c>
      <c r="E4" s="95">
        <v>12</v>
      </c>
      <c r="F4" s="117">
        <f>(F8*5%)</f>
        <v>18000</v>
      </c>
      <c r="G4" s="117">
        <f>F4*D4</f>
        <v>18000</v>
      </c>
      <c r="H4" s="118">
        <f>G4/12</f>
        <v>1500</v>
      </c>
    </row>
    <row r="5" spans="1:8" ht="15" customHeight="1" x14ac:dyDescent="0.25">
      <c r="A5" s="115" t="s">
        <v>166</v>
      </c>
      <c r="B5" s="113" t="s">
        <v>257</v>
      </c>
      <c r="C5" s="113" t="s">
        <v>167</v>
      </c>
      <c r="D5" s="113" t="s">
        <v>168</v>
      </c>
      <c r="E5" s="113" t="s">
        <v>171</v>
      </c>
      <c r="F5" s="274" t="s">
        <v>169</v>
      </c>
      <c r="G5" s="274" t="s">
        <v>226</v>
      </c>
      <c r="H5" s="275" t="s">
        <v>172</v>
      </c>
    </row>
    <row r="6" spans="1:8" ht="140.1" customHeight="1" x14ac:dyDescent="0.25">
      <c r="A6" s="119">
        <v>1</v>
      </c>
      <c r="B6" s="174" t="s">
        <v>250</v>
      </c>
      <c r="C6" s="95" t="s">
        <v>167</v>
      </c>
      <c r="D6" s="112">
        <v>1</v>
      </c>
      <c r="E6" s="95">
        <v>12</v>
      </c>
      <c r="F6" s="117">
        <f>(F8*10%)</f>
        <v>36000</v>
      </c>
      <c r="G6" s="117">
        <f>F6*D6</f>
        <v>36000</v>
      </c>
      <c r="H6" s="118">
        <f>G6/E6</f>
        <v>3000</v>
      </c>
    </row>
    <row r="7" spans="1:8" ht="15" customHeight="1" x14ac:dyDescent="0.25">
      <c r="A7" s="115" t="s">
        <v>166</v>
      </c>
      <c r="B7" s="114" t="s">
        <v>187</v>
      </c>
      <c r="C7" s="113" t="s">
        <v>167</v>
      </c>
      <c r="D7" s="113" t="s">
        <v>168</v>
      </c>
      <c r="E7" s="113" t="s">
        <v>171</v>
      </c>
      <c r="F7" s="274" t="s">
        <v>169</v>
      </c>
      <c r="G7" s="274" t="s">
        <v>226</v>
      </c>
      <c r="H7" s="275" t="s">
        <v>172</v>
      </c>
    </row>
    <row r="8" spans="1:8" ht="15" customHeight="1" thickBot="1" x14ac:dyDescent="0.3">
      <c r="A8" s="179">
        <v>1</v>
      </c>
      <c r="B8" s="180" t="s">
        <v>188</v>
      </c>
      <c r="C8" s="181" t="s">
        <v>167</v>
      </c>
      <c r="D8" s="182">
        <v>1</v>
      </c>
      <c r="E8" s="181">
        <v>60</v>
      </c>
      <c r="F8" s="183">
        <v>360000</v>
      </c>
      <c r="G8" s="184">
        <f>F8*D8</f>
        <v>360000</v>
      </c>
      <c r="H8" s="185">
        <f>(G8/E8)</f>
        <v>6000</v>
      </c>
    </row>
    <row r="9" spans="1:8" ht="15" customHeight="1" thickBot="1" x14ac:dyDescent="0.3">
      <c r="A9" s="495"/>
      <c r="B9" s="496"/>
      <c r="C9" s="496"/>
      <c r="D9" s="496"/>
      <c r="E9" s="496"/>
      <c r="F9" s="496"/>
      <c r="G9" s="496"/>
      <c r="H9" s="497"/>
    </row>
    <row r="10" spans="1:8" ht="15" customHeight="1" thickBot="1" x14ac:dyDescent="0.3">
      <c r="A10" s="524" t="s">
        <v>249</v>
      </c>
      <c r="B10" s="525"/>
      <c r="C10" s="525"/>
      <c r="D10" s="525"/>
      <c r="E10" s="525"/>
      <c r="F10" s="525"/>
      <c r="G10" s="525"/>
      <c r="H10" s="526"/>
    </row>
    <row r="11" spans="1:8" ht="15" customHeight="1" x14ac:dyDescent="0.25">
      <c r="A11" s="176" t="s">
        <v>166</v>
      </c>
      <c r="B11" s="177" t="s">
        <v>251</v>
      </c>
      <c r="C11" s="177" t="s">
        <v>167</v>
      </c>
      <c r="D11" s="177" t="s">
        <v>168</v>
      </c>
      <c r="E11" s="177" t="s">
        <v>171</v>
      </c>
      <c r="F11" s="177" t="s">
        <v>169</v>
      </c>
      <c r="G11" s="177" t="s">
        <v>226</v>
      </c>
      <c r="H11" s="178" t="s">
        <v>172</v>
      </c>
    </row>
    <row r="12" spans="1:8" ht="45" customHeight="1" x14ac:dyDescent="0.25">
      <c r="A12" s="119">
        <v>1</v>
      </c>
      <c r="B12" s="120" t="s">
        <v>252</v>
      </c>
      <c r="C12" s="95" t="s">
        <v>167</v>
      </c>
      <c r="D12" s="112">
        <v>1</v>
      </c>
      <c r="E12" s="95">
        <v>12</v>
      </c>
      <c r="F12" s="117">
        <f>(F16*5%)</f>
        <v>18975</v>
      </c>
      <c r="G12" s="117">
        <f>F12*D12</f>
        <v>18975</v>
      </c>
      <c r="H12" s="118">
        <f>G12/12</f>
        <v>1581.25</v>
      </c>
    </row>
    <row r="13" spans="1:8" x14ac:dyDescent="0.25">
      <c r="A13" s="115" t="s">
        <v>166</v>
      </c>
      <c r="B13" s="113" t="s">
        <v>257</v>
      </c>
      <c r="C13" s="113" t="s">
        <v>167</v>
      </c>
      <c r="D13" s="113" t="s">
        <v>168</v>
      </c>
      <c r="E13" s="113" t="s">
        <v>171</v>
      </c>
      <c r="F13" s="274" t="s">
        <v>169</v>
      </c>
      <c r="G13" s="274" t="s">
        <v>226</v>
      </c>
      <c r="H13" s="275" t="s">
        <v>172</v>
      </c>
    </row>
    <row r="14" spans="1:8" ht="135" x14ac:dyDescent="0.25">
      <c r="A14" s="119">
        <v>1</v>
      </c>
      <c r="B14" s="173" t="s">
        <v>250</v>
      </c>
      <c r="C14" s="95" t="s">
        <v>167</v>
      </c>
      <c r="D14" s="112">
        <v>1</v>
      </c>
      <c r="E14" s="95">
        <v>12</v>
      </c>
      <c r="F14" s="117">
        <f>(F16*10%)</f>
        <v>37950</v>
      </c>
      <c r="G14" s="117">
        <f>F14*D14</f>
        <v>37950</v>
      </c>
      <c r="H14" s="118">
        <f>G14/E14</f>
        <v>3162.5</v>
      </c>
    </row>
    <row r="15" spans="1:8" x14ac:dyDescent="0.25">
      <c r="A15" s="115" t="s">
        <v>166</v>
      </c>
      <c r="B15" s="114" t="s">
        <v>187</v>
      </c>
      <c r="C15" s="113" t="s">
        <v>167</v>
      </c>
      <c r="D15" s="113" t="s">
        <v>168</v>
      </c>
      <c r="E15" s="113" t="s">
        <v>171</v>
      </c>
      <c r="F15" s="274" t="s">
        <v>169</v>
      </c>
      <c r="G15" s="274" t="s">
        <v>226</v>
      </c>
      <c r="H15" s="275" t="s">
        <v>172</v>
      </c>
    </row>
    <row r="16" spans="1:8" ht="15.75" thickBot="1" x14ac:dyDescent="0.3">
      <c r="A16" s="179">
        <v>1</v>
      </c>
      <c r="B16" s="180" t="s">
        <v>241</v>
      </c>
      <c r="C16" s="181" t="s">
        <v>167</v>
      </c>
      <c r="D16" s="182">
        <v>1</v>
      </c>
      <c r="E16" s="181">
        <v>60</v>
      </c>
      <c r="F16" s="183">
        <v>379500</v>
      </c>
      <c r="G16" s="184">
        <f>F16*D16</f>
        <v>379500</v>
      </c>
      <c r="H16" s="185">
        <f>(G16/E16)</f>
        <v>6325</v>
      </c>
    </row>
    <row r="17" spans="1:8" ht="15.75" thickBot="1" x14ac:dyDescent="0.3">
      <c r="A17" s="527"/>
      <c r="B17" s="528"/>
      <c r="C17" s="528"/>
      <c r="D17" s="528"/>
      <c r="E17" s="528"/>
      <c r="F17" s="528"/>
      <c r="G17" s="528"/>
      <c r="H17" s="529"/>
    </row>
    <row r="18" spans="1:8" ht="15.75" thickBot="1" x14ac:dyDescent="0.3">
      <c r="A18" s="501" t="s">
        <v>299</v>
      </c>
      <c r="B18" s="502"/>
      <c r="C18" s="502"/>
      <c r="D18" s="502"/>
      <c r="E18" s="502"/>
      <c r="F18" s="502"/>
      <c r="G18" s="502"/>
      <c r="H18" s="111">
        <f>SUM(H4:H8)/8</f>
        <v>1312.5</v>
      </c>
    </row>
    <row r="19" spans="1:8" ht="15.75" thickBot="1" x14ac:dyDescent="0.3">
      <c r="A19" s="501" t="s">
        <v>244</v>
      </c>
      <c r="B19" s="502"/>
      <c r="C19" s="502"/>
      <c r="D19" s="502"/>
      <c r="E19" s="502"/>
      <c r="F19" s="502"/>
      <c r="G19" s="502"/>
      <c r="H19" s="111">
        <f>SUM(H4:H8)/8</f>
        <v>1312.5</v>
      </c>
    </row>
    <row r="20" spans="1:8" ht="15.75" thickBot="1" x14ac:dyDescent="0.3">
      <c r="A20" s="501" t="s">
        <v>300</v>
      </c>
      <c r="B20" s="502"/>
      <c r="C20" s="502"/>
      <c r="D20" s="502"/>
      <c r="E20" s="502"/>
      <c r="F20" s="502"/>
      <c r="G20" s="502"/>
      <c r="H20" s="111">
        <f>SUM(H12:H16)/12</f>
        <v>922.4</v>
      </c>
    </row>
    <row r="21" spans="1:8" ht="15.75" thickBot="1" x14ac:dyDescent="0.3">
      <c r="A21" s="501" t="s">
        <v>243</v>
      </c>
      <c r="B21" s="502"/>
      <c r="C21" s="502"/>
      <c r="D21" s="502"/>
      <c r="E21" s="502"/>
      <c r="F21" s="502"/>
      <c r="G21" s="502"/>
      <c r="H21" s="111">
        <f>SUM(H12:H16)/12</f>
        <v>922.4</v>
      </c>
    </row>
    <row r="22" spans="1:8" ht="15.75" thickBot="1" x14ac:dyDescent="0.3">
      <c r="A22" s="501" t="s">
        <v>299</v>
      </c>
      <c r="B22" s="502"/>
      <c r="C22" s="502"/>
      <c r="D22" s="502"/>
      <c r="E22" s="502"/>
      <c r="F22" s="502"/>
      <c r="G22" s="502"/>
      <c r="H22" s="111">
        <f>SUM(H4:H8)/4</f>
        <v>2625</v>
      </c>
    </row>
    <row r="23" spans="1:8" ht="15.75" thickBot="1" x14ac:dyDescent="0.3">
      <c r="A23" s="501" t="s">
        <v>313</v>
      </c>
      <c r="B23" s="502"/>
      <c r="C23" s="502"/>
      <c r="D23" s="502"/>
      <c r="E23" s="502"/>
      <c r="F23" s="502"/>
      <c r="G23" s="502"/>
      <c r="H23" s="276">
        <f>SUM(H4:H8)/8</f>
        <v>1312.5</v>
      </c>
    </row>
    <row r="24" spans="1:8" ht="15.75" thickBot="1" x14ac:dyDescent="0.3">
      <c r="A24" s="501" t="s">
        <v>314</v>
      </c>
      <c r="B24" s="502"/>
      <c r="C24" s="502"/>
      <c r="D24" s="502"/>
      <c r="E24" s="502"/>
      <c r="F24" s="502"/>
      <c r="G24" s="502"/>
      <c r="H24" s="276">
        <f>SUM(H12:H16)/12</f>
        <v>922.4</v>
      </c>
    </row>
    <row r="25" spans="1:8" ht="15.75" thickBot="1" x14ac:dyDescent="0.3">
      <c r="A25" s="504" t="s">
        <v>247</v>
      </c>
      <c r="B25" s="522"/>
      <c r="C25" s="522"/>
      <c r="D25" s="522"/>
      <c r="E25" s="522"/>
      <c r="F25" s="522"/>
      <c r="G25" s="522"/>
      <c r="H25" s="523"/>
    </row>
    <row r="26" spans="1:8" ht="15" customHeight="1" x14ac:dyDescent="0.25">
      <c r="A26" s="480" t="s">
        <v>305</v>
      </c>
      <c r="B26" s="481"/>
      <c r="C26" s="481"/>
      <c r="D26" s="481"/>
      <c r="E26" s="481"/>
      <c r="F26" s="481"/>
      <c r="G26" s="481"/>
      <c r="H26" s="482"/>
    </row>
    <row r="27" spans="1:8" x14ac:dyDescent="0.25">
      <c r="A27" s="483"/>
      <c r="B27" s="484"/>
      <c r="C27" s="484"/>
      <c r="D27" s="484"/>
      <c r="E27" s="484"/>
      <c r="F27" s="484"/>
      <c r="G27" s="484"/>
      <c r="H27" s="485"/>
    </row>
    <row r="28" spans="1:8" x14ac:dyDescent="0.25">
      <c r="A28" s="483"/>
      <c r="B28" s="484"/>
      <c r="C28" s="484"/>
      <c r="D28" s="484"/>
      <c r="E28" s="484"/>
      <c r="F28" s="484"/>
      <c r="G28" s="484"/>
      <c r="H28" s="485"/>
    </row>
    <row r="29" spans="1:8" x14ac:dyDescent="0.25">
      <c r="A29" s="483"/>
      <c r="B29" s="484"/>
      <c r="C29" s="484"/>
      <c r="D29" s="484"/>
      <c r="E29" s="484"/>
      <c r="F29" s="484"/>
      <c r="G29" s="484"/>
      <c r="H29" s="485"/>
    </row>
    <row r="30" spans="1:8" x14ac:dyDescent="0.25">
      <c r="A30" s="483"/>
      <c r="B30" s="484"/>
      <c r="C30" s="484"/>
      <c r="D30" s="484"/>
      <c r="E30" s="484"/>
      <c r="F30" s="484"/>
      <c r="G30" s="484"/>
      <c r="H30" s="485"/>
    </row>
    <row r="31" spans="1:8" x14ac:dyDescent="0.25">
      <c r="A31" s="483"/>
      <c r="B31" s="484"/>
      <c r="C31" s="484"/>
      <c r="D31" s="484"/>
      <c r="E31" s="484"/>
      <c r="F31" s="484"/>
      <c r="G31" s="484"/>
      <c r="H31" s="485"/>
    </row>
    <row r="32" spans="1:8" x14ac:dyDescent="0.25">
      <c r="A32" s="483"/>
      <c r="B32" s="484"/>
      <c r="C32" s="484"/>
      <c r="D32" s="484"/>
      <c r="E32" s="484"/>
      <c r="F32" s="484"/>
      <c r="G32" s="484"/>
      <c r="H32" s="485"/>
    </row>
    <row r="33" spans="1:8" x14ac:dyDescent="0.25">
      <c r="A33" s="483"/>
      <c r="B33" s="484"/>
      <c r="C33" s="484"/>
      <c r="D33" s="484"/>
      <c r="E33" s="484"/>
      <c r="F33" s="484"/>
      <c r="G33" s="484"/>
      <c r="H33" s="485"/>
    </row>
    <row r="34" spans="1:8" x14ac:dyDescent="0.25">
      <c r="A34" s="483"/>
      <c r="B34" s="484"/>
      <c r="C34" s="484"/>
      <c r="D34" s="484"/>
      <c r="E34" s="484"/>
      <c r="F34" s="484"/>
      <c r="G34" s="484"/>
      <c r="H34" s="485"/>
    </row>
    <row r="35" spans="1:8" x14ac:dyDescent="0.25">
      <c r="A35" s="483"/>
      <c r="B35" s="484"/>
      <c r="C35" s="484"/>
      <c r="D35" s="484"/>
      <c r="E35" s="484"/>
      <c r="F35" s="484"/>
      <c r="G35" s="484"/>
      <c r="H35" s="485"/>
    </row>
    <row r="36" spans="1:8" x14ac:dyDescent="0.25">
      <c r="A36" s="483"/>
      <c r="B36" s="484"/>
      <c r="C36" s="484"/>
      <c r="D36" s="484"/>
      <c r="E36" s="484"/>
      <c r="F36" s="484"/>
      <c r="G36" s="484"/>
      <c r="H36" s="485"/>
    </row>
    <row r="37" spans="1:8" x14ac:dyDescent="0.25">
      <c r="A37" s="483"/>
      <c r="B37" s="484"/>
      <c r="C37" s="484"/>
      <c r="D37" s="484"/>
      <c r="E37" s="484"/>
      <c r="F37" s="484"/>
      <c r="G37" s="484"/>
      <c r="H37" s="485"/>
    </row>
    <row r="38" spans="1:8" ht="15.75" thickBot="1" x14ac:dyDescent="0.3">
      <c r="A38" s="486"/>
      <c r="B38" s="487"/>
      <c r="C38" s="487"/>
      <c r="D38" s="487"/>
      <c r="E38" s="487"/>
      <c r="F38" s="487"/>
      <c r="G38" s="487"/>
      <c r="H38" s="488"/>
    </row>
    <row r="39" spans="1:8" x14ac:dyDescent="0.25">
      <c r="A39" s="175"/>
      <c r="B39" s="175"/>
      <c r="C39" s="175"/>
      <c r="D39" s="175"/>
      <c r="E39" s="175"/>
      <c r="F39" s="175"/>
      <c r="G39" s="175"/>
      <c r="H39" s="175"/>
    </row>
  </sheetData>
  <mergeCells count="14">
    <mergeCell ref="A26:H38"/>
    <mergeCell ref="A25:H25"/>
    <mergeCell ref="A21:G21"/>
    <mergeCell ref="A1:H1"/>
    <mergeCell ref="A2:H2"/>
    <mergeCell ref="A19:G19"/>
    <mergeCell ref="A20:G20"/>
    <mergeCell ref="A18:G18"/>
    <mergeCell ref="A22:G22"/>
    <mergeCell ref="A9:H9"/>
    <mergeCell ref="A10:H10"/>
    <mergeCell ref="A17:H17"/>
    <mergeCell ref="A23:G23"/>
    <mergeCell ref="A24:G2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32" t="s">
        <v>95</v>
      </c>
      <c r="B1" s="332"/>
    </row>
    <row r="2" spans="1:2" ht="19.5" thickBot="1" x14ac:dyDescent="0.35">
      <c r="A2" s="21" t="s">
        <v>96</v>
      </c>
      <c r="B2" s="21" t="s">
        <v>97</v>
      </c>
    </row>
    <row r="3" spans="1:2" ht="19.5" thickBot="1" x14ac:dyDescent="0.35">
      <c r="A3" s="22" t="s">
        <v>98</v>
      </c>
      <c r="B3" s="23" t="s">
        <v>99</v>
      </c>
    </row>
    <row r="4" spans="1:2" ht="57" thickBot="1" x14ac:dyDescent="0.35">
      <c r="A4" s="24" t="s">
        <v>100</v>
      </c>
      <c r="B4" s="25" t="s">
        <v>101</v>
      </c>
    </row>
    <row r="5" spans="1:2" ht="19.5" thickBot="1" x14ac:dyDescent="0.35">
      <c r="A5" s="24" t="s">
        <v>102</v>
      </c>
      <c r="B5" s="25" t="s">
        <v>103</v>
      </c>
    </row>
    <row r="6" spans="1:2" ht="94.5" thickBot="1" x14ac:dyDescent="0.35">
      <c r="A6" s="24" t="s">
        <v>104</v>
      </c>
      <c r="B6" s="25" t="s">
        <v>105</v>
      </c>
    </row>
    <row r="7" spans="1:2" ht="38.25" thickBot="1" x14ac:dyDescent="0.35">
      <c r="A7" s="24" t="s">
        <v>106</v>
      </c>
      <c r="B7" s="25" t="s">
        <v>107</v>
      </c>
    </row>
    <row r="8" spans="1:2" ht="19.5" thickBot="1" x14ac:dyDescent="0.35">
      <c r="A8" s="24" t="s">
        <v>108</v>
      </c>
      <c r="B8" s="25" t="s">
        <v>109</v>
      </c>
    </row>
    <row r="9" spans="1:2" ht="38.25" thickBot="1" x14ac:dyDescent="0.35">
      <c r="A9" s="24" t="s">
        <v>110</v>
      </c>
      <c r="B9" s="25" t="s">
        <v>111</v>
      </c>
    </row>
    <row r="10" spans="1:2" ht="57" thickBot="1" x14ac:dyDescent="0.35">
      <c r="A10" s="24" t="s">
        <v>112</v>
      </c>
      <c r="B10" s="25" t="s">
        <v>113</v>
      </c>
    </row>
    <row r="11" spans="1:2" ht="75.75" thickBot="1" x14ac:dyDescent="0.35">
      <c r="A11" s="24" t="s">
        <v>114</v>
      </c>
      <c r="B11" s="25" t="s">
        <v>115</v>
      </c>
    </row>
    <row r="12" spans="1:2" ht="57" thickBot="1" x14ac:dyDescent="0.35">
      <c r="A12" s="24" t="s">
        <v>112</v>
      </c>
      <c r="B12" s="25" t="s">
        <v>116</v>
      </c>
    </row>
    <row r="13" spans="1:2" ht="38.25" thickBot="1" x14ac:dyDescent="0.35">
      <c r="A13" s="24" t="s">
        <v>112</v>
      </c>
      <c r="B13" s="25" t="s">
        <v>117</v>
      </c>
    </row>
    <row r="14" spans="1:2" ht="57" thickBot="1" x14ac:dyDescent="0.35">
      <c r="A14" s="24" t="s">
        <v>112</v>
      </c>
      <c r="B14" s="25" t="s">
        <v>118</v>
      </c>
    </row>
    <row r="15" spans="1:2" ht="19.5" thickBot="1" x14ac:dyDescent="0.35">
      <c r="A15" s="24" t="s">
        <v>112</v>
      </c>
      <c r="B15" s="25" t="s">
        <v>119</v>
      </c>
    </row>
    <row r="16" spans="1:2" ht="38.25" thickBot="1" x14ac:dyDescent="0.35">
      <c r="A16" s="24" t="s">
        <v>120</v>
      </c>
      <c r="B16" s="25" t="s">
        <v>121</v>
      </c>
    </row>
    <row r="17" spans="1:2" ht="38.25" thickBot="1" x14ac:dyDescent="0.35">
      <c r="A17" s="24" t="s">
        <v>122</v>
      </c>
      <c r="B17" s="25" t="s">
        <v>123</v>
      </c>
    </row>
    <row r="18" spans="1:2" ht="38.25" thickBot="1" x14ac:dyDescent="0.35">
      <c r="A18" s="24" t="s">
        <v>112</v>
      </c>
      <c r="B18" s="25" t="s">
        <v>124</v>
      </c>
    </row>
    <row r="19" spans="1:2" ht="57" thickBot="1" x14ac:dyDescent="0.35">
      <c r="A19" s="24" t="s">
        <v>112</v>
      </c>
      <c r="B19" s="25" t="s">
        <v>125</v>
      </c>
    </row>
    <row r="20" spans="1:2" ht="38.25" thickBot="1" x14ac:dyDescent="0.35">
      <c r="A20" s="24" t="s">
        <v>112</v>
      </c>
      <c r="B20" s="25" t="s">
        <v>126</v>
      </c>
    </row>
    <row r="21" spans="1:2" ht="57" thickBot="1" x14ac:dyDescent="0.35">
      <c r="A21" s="24" t="s">
        <v>112</v>
      </c>
      <c r="B21" s="25" t="s">
        <v>127</v>
      </c>
    </row>
    <row r="22" spans="1:2" x14ac:dyDescent="0.3">
      <c r="A22" s="26" t="s">
        <v>112</v>
      </c>
      <c r="B22" s="27" t="s">
        <v>128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view="pageBreakPreview" topLeftCell="A7" zoomScale="80" zoomScaleNormal="80" zoomScaleSheetLayoutView="80" workbookViewId="0">
      <selection activeCell="D3" sqref="D3"/>
    </sheetView>
  </sheetViews>
  <sheetFormatPr defaultRowHeight="12.75" x14ac:dyDescent="0.25"/>
  <cols>
    <col min="1" max="1" width="10.7109375" style="149" customWidth="1"/>
    <col min="2" max="2" width="60.7109375" style="149" customWidth="1"/>
    <col min="3" max="9" width="20.7109375" style="149" customWidth="1"/>
    <col min="10" max="16384" width="9.140625" style="149"/>
  </cols>
  <sheetData>
    <row r="1" spans="1:8" ht="20.100000000000001" customHeight="1" x14ac:dyDescent="0.25">
      <c r="A1" s="339" t="s">
        <v>316</v>
      </c>
      <c r="B1" s="340"/>
      <c r="C1" s="340"/>
      <c r="D1" s="340"/>
      <c r="E1" s="340"/>
      <c r="F1" s="340"/>
      <c r="G1" s="340"/>
      <c r="H1" s="341"/>
    </row>
    <row r="2" spans="1:8" ht="45" customHeight="1" thickBot="1" x14ac:dyDescent="0.3">
      <c r="A2" s="284" t="s">
        <v>259</v>
      </c>
      <c r="B2" s="285" t="s">
        <v>260</v>
      </c>
      <c r="C2" s="286" t="s">
        <v>289</v>
      </c>
      <c r="D2" s="224" t="s">
        <v>281</v>
      </c>
      <c r="E2" s="286" t="s">
        <v>261</v>
      </c>
      <c r="F2" s="285" t="s">
        <v>262</v>
      </c>
      <c r="G2" s="285" t="s">
        <v>288</v>
      </c>
      <c r="H2" s="287" t="s">
        <v>287</v>
      </c>
    </row>
    <row r="3" spans="1:8" ht="150" customHeight="1" x14ac:dyDescent="0.25">
      <c r="A3" s="288">
        <v>1</v>
      </c>
      <c r="B3" s="289" t="s">
        <v>297</v>
      </c>
      <c r="C3" s="290" t="s">
        <v>294</v>
      </c>
      <c r="D3" s="290" t="s">
        <v>282</v>
      </c>
      <c r="E3" s="153">
        <v>1</v>
      </c>
      <c r="F3" s="291">
        <f>('Motorista - Diurno'!H112+'Técnico de Enfermagem - Diurno'!F113)*2</f>
        <v>50665.98</v>
      </c>
      <c r="G3" s="291">
        <f>F3*E3</f>
        <v>50665.98</v>
      </c>
      <c r="H3" s="292">
        <f>G3*12</f>
        <v>607991.76</v>
      </c>
    </row>
    <row r="4" spans="1:8" ht="150" customHeight="1" x14ac:dyDescent="0.25">
      <c r="A4" s="188">
        <v>2</v>
      </c>
      <c r="B4" s="234" t="s">
        <v>295</v>
      </c>
      <c r="C4" s="223" t="s">
        <v>293</v>
      </c>
      <c r="D4" s="223" t="s">
        <v>282</v>
      </c>
      <c r="E4" s="150">
        <v>1</v>
      </c>
      <c r="F4" s="205">
        <f>('Motorista - Diurno'!F112+'Motorista - Noturno'!F113+'Enfermeiro - Diurno'!D112+'Enfermeiro - Noturno'!D113+'Médico - Diurno '!D112+'Médico - Noturno'!D112)*2</f>
        <v>280932.18</v>
      </c>
      <c r="G4" s="205">
        <f>F4*E4</f>
        <v>280932.18</v>
      </c>
      <c r="H4" s="206">
        <f>G4*12</f>
        <v>3371186.16</v>
      </c>
    </row>
    <row r="5" spans="1:8" ht="150" customHeight="1" x14ac:dyDescent="0.25">
      <c r="A5" s="186">
        <v>3</v>
      </c>
      <c r="B5" s="233" t="s">
        <v>291</v>
      </c>
      <c r="C5" s="223" t="s">
        <v>290</v>
      </c>
      <c r="D5" s="223" t="s">
        <v>282</v>
      </c>
      <c r="E5" s="187">
        <v>1</v>
      </c>
      <c r="F5" s="207">
        <f>('Motorista - Diurno'!D112+'Motorista - Noturno'!D113+'Técnico de Enfermagem - Diurno'!D113+'Técnico de Enfermagem - Noturno'!D113)*2</f>
        <v>91034.58</v>
      </c>
      <c r="G5" s="205">
        <f>F5*E5</f>
        <v>91034.58</v>
      </c>
      <c r="H5" s="206">
        <f>G5*12</f>
        <v>1092414.96</v>
      </c>
    </row>
    <row r="6" spans="1:8" ht="150" customHeight="1" x14ac:dyDescent="0.25">
      <c r="A6" s="186">
        <v>4</v>
      </c>
      <c r="B6" s="233" t="s">
        <v>292</v>
      </c>
      <c r="C6" s="223" t="s">
        <v>290</v>
      </c>
      <c r="D6" s="223" t="s">
        <v>282</v>
      </c>
      <c r="E6" s="187">
        <v>2</v>
      </c>
      <c r="F6" s="207">
        <f>('Motorista - Diurno'!E112+'Motorista - Noturno'!E113+'Técnico de Enfermagem - Diurno'!E113+'Técnico de Enfermagem - Noturno'!E113)*2</f>
        <v>91719.34</v>
      </c>
      <c r="G6" s="205">
        <f>F6*E6</f>
        <v>183438.68</v>
      </c>
      <c r="H6" s="206">
        <f>G6*12</f>
        <v>2201264.16</v>
      </c>
    </row>
    <row r="7" spans="1:8" ht="150" customHeight="1" x14ac:dyDescent="0.25">
      <c r="A7" s="188">
        <v>5</v>
      </c>
      <c r="B7" s="233" t="s">
        <v>296</v>
      </c>
      <c r="C7" s="223" t="s">
        <v>293</v>
      </c>
      <c r="D7" s="223" t="s">
        <v>282</v>
      </c>
      <c r="E7" s="187">
        <v>1</v>
      </c>
      <c r="F7" s="207">
        <f>('Motorista - Diurno'!G112+'Motorista - Noturno'!G113+'Enfermeiro - Diurno'!E112+'Enfermeiro - Noturno'!E113+'Médico - Diurno '!E112+'Médico - Noturno'!E112)*2</f>
        <v>279557.98</v>
      </c>
      <c r="G7" s="205">
        <f>F7*E7</f>
        <v>279557.98</v>
      </c>
      <c r="H7" s="206">
        <f>G7*12</f>
        <v>3354695.76</v>
      </c>
    </row>
    <row r="8" spans="1:8" ht="150" customHeight="1" x14ac:dyDescent="0.25">
      <c r="A8" s="188">
        <v>6</v>
      </c>
      <c r="B8" s="233" t="s">
        <v>309</v>
      </c>
      <c r="C8" s="223" t="s">
        <v>308</v>
      </c>
      <c r="D8" s="223" t="s">
        <v>282</v>
      </c>
      <c r="E8" s="187">
        <v>2</v>
      </c>
      <c r="F8" s="207">
        <f>('Motorista - Diurno'!I112+'Motorista - Noturno'!H113+'Técnico de Enfermagem - Diurno'!G113+'Técnico de Enfermagem - Noturno'!F113)*2</f>
        <v>91034.58</v>
      </c>
      <c r="G8" s="205">
        <f t="shared" ref="G8:G9" si="0">F8*E8</f>
        <v>182069.16</v>
      </c>
      <c r="H8" s="206">
        <f t="shared" ref="H8:H9" si="1">G8*12</f>
        <v>2184829.92</v>
      </c>
    </row>
    <row r="9" spans="1:8" ht="150" customHeight="1" thickBot="1" x14ac:dyDescent="0.3">
      <c r="A9" s="293">
        <v>7</v>
      </c>
      <c r="B9" s="294" t="s">
        <v>315</v>
      </c>
      <c r="C9" s="295" t="s">
        <v>308</v>
      </c>
      <c r="D9" s="295" t="s">
        <v>282</v>
      </c>
      <c r="E9" s="295">
        <v>1</v>
      </c>
      <c r="F9" s="296">
        <f>('Motorista - Diurno'!J112+'Motorista - Noturno'!I113+'Enfermeiro - Diurno'!F112+'Enfermeiro - Noturno'!F113+'Médico - Diurno '!F112+'Médico - Noturno'!F112)*2</f>
        <v>281498.14</v>
      </c>
      <c r="G9" s="296">
        <f t="shared" si="0"/>
        <v>281498.14</v>
      </c>
      <c r="H9" s="297">
        <f t="shared" si="1"/>
        <v>3377977.68</v>
      </c>
    </row>
    <row r="10" spans="1:8" ht="15" customHeight="1" thickBot="1" x14ac:dyDescent="0.3">
      <c r="A10" s="342" t="s">
        <v>263</v>
      </c>
      <c r="B10" s="343"/>
      <c r="C10" s="343"/>
      <c r="D10" s="343"/>
      <c r="E10" s="343"/>
      <c r="F10" s="343"/>
      <c r="G10" s="343"/>
      <c r="H10" s="283">
        <f>SUM(H3:H9)</f>
        <v>16190360.4</v>
      </c>
    </row>
    <row r="11" spans="1:8" ht="13.5" thickBot="1" x14ac:dyDescent="0.3">
      <c r="A11" s="344"/>
      <c r="B11" s="344"/>
      <c r="C11" s="344"/>
      <c r="D11" s="344"/>
      <c r="E11" s="344"/>
      <c r="F11" s="344"/>
      <c r="G11" s="344"/>
      <c r="H11" s="344"/>
    </row>
    <row r="12" spans="1:8" ht="15" customHeight="1" x14ac:dyDescent="0.25">
      <c r="A12" s="351" t="s">
        <v>258</v>
      </c>
      <c r="B12" s="352"/>
      <c r="C12" s="352"/>
      <c r="D12" s="352"/>
      <c r="E12" s="352"/>
      <c r="F12" s="352"/>
      <c r="G12" s="352"/>
      <c r="H12" s="353"/>
    </row>
    <row r="13" spans="1:8" ht="45" x14ac:dyDescent="0.25">
      <c r="A13" s="354" t="s">
        <v>175</v>
      </c>
      <c r="B13" s="355"/>
      <c r="C13" s="109" t="s">
        <v>176</v>
      </c>
      <c r="D13" s="109" t="s">
        <v>177</v>
      </c>
      <c r="E13" s="109" t="s">
        <v>178</v>
      </c>
      <c r="F13" s="109" t="s">
        <v>179</v>
      </c>
      <c r="G13" s="109" t="s">
        <v>180</v>
      </c>
      <c r="H13" s="110" t="s">
        <v>181</v>
      </c>
    </row>
    <row r="14" spans="1:8" ht="15.75" thickBot="1" x14ac:dyDescent="0.3">
      <c r="A14" s="356" t="s">
        <v>182</v>
      </c>
      <c r="B14" s="357"/>
      <c r="C14" s="126" t="s">
        <v>183</v>
      </c>
      <c r="D14" s="126" t="s">
        <v>184</v>
      </c>
      <c r="E14" s="127" t="s">
        <v>228</v>
      </c>
      <c r="F14" s="127" t="s">
        <v>229</v>
      </c>
      <c r="G14" s="128" t="s">
        <v>185</v>
      </c>
      <c r="H14" s="129" t="s">
        <v>227</v>
      </c>
    </row>
    <row r="15" spans="1:8" ht="15.75" thickBot="1" x14ac:dyDescent="0.3">
      <c r="A15" s="336" t="s">
        <v>189</v>
      </c>
      <c r="B15" s="337"/>
      <c r="C15" s="337"/>
      <c r="D15" s="337"/>
      <c r="E15" s="337"/>
      <c r="F15" s="337"/>
      <c r="G15" s="337"/>
      <c r="H15" s="338"/>
    </row>
    <row r="16" spans="1:8" ht="15" x14ac:dyDescent="0.25">
      <c r="A16" s="345">
        <v>1</v>
      </c>
      <c r="B16" s="153" t="s">
        <v>302</v>
      </c>
      <c r="C16" s="130">
        <f>'Motorista - Diurno'!H112</f>
        <v>12994.18</v>
      </c>
      <c r="D16" s="131">
        <v>2</v>
      </c>
      <c r="E16" s="132">
        <v>1</v>
      </c>
      <c r="F16" s="130">
        <f>C16*D16</f>
        <v>25988.36</v>
      </c>
      <c r="G16" s="130">
        <f>F16*E16</f>
        <v>25988.36</v>
      </c>
      <c r="H16" s="133">
        <f>G16*12</f>
        <v>311860.32</v>
      </c>
    </row>
    <row r="17" spans="1:8" ht="15.75" thickBot="1" x14ac:dyDescent="0.3">
      <c r="A17" s="346"/>
      <c r="B17" s="150" t="s">
        <v>237</v>
      </c>
      <c r="C17" s="125">
        <f>'Técnico de Enfermagem - Diurno'!F113</f>
        <v>12338.81</v>
      </c>
      <c r="D17" s="124">
        <v>2</v>
      </c>
      <c r="E17" s="140">
        <v>1</v>
      </c>
      <c r="F17" s="134">
        <f>C17*D17</f>
        <v>24677.62</v>
      </c>
      <c r="G17" s="134">
        <f>F17*E17</f>
        <v>24677.62</v>
      </c>
      <c r="H17" s="141">
        <f>G17*12</f>
        <v>296131.44</v>
      </c>
    </row>
    <row r="18" spans="1:8" ht="15.75" thickBot="1" x14ac:dyDescent="0.3">
      <c r="A18" s="336" t="s">
        <v>238</v>
      </c>
      <c r="B18" s="337"/>
      <c r="C18" s="337"/>
      <c r="D18" s="337"/>
      <c r="E18" s="337"/>
      <c r="F18" s="337"/>
      <c r="G18" s="337"/>
      <c r="H18" s="338"/>
    </row>
    <row r="19" spans="1:8" ht="15" x14ac:dyDescent="0.25">
      <c r="A19" s="346">
        <v>2</v>
      </c>
      <c r="B19" s="194" t="s">
        <v>302</v>
      </c>
      <c r="C19" s="195">
        <f>'Motorista - Diurno'!F112</f>
        <v>11882.89</v>
      </c>
      <c r="D19" s="196">
        <v>2</v>
      </c>
      <c r="E19" s="197">
        <v>1</v>
      </c>
      <c r="F19" s="193">
        <f t="shared" ref="F19:F24" si="2">C19*D19</f>
        <v>23765.78</v>
      </c>
      <c r="G19" s="193">
        <f t="shared" ref="G19:G24" si="3">F19*E19</f>
        <v>23765.78</v>
      </c>
      <c r="H19" s="204">
        <f t="shared" ref="H19:H24" si="4">G19*12</f>
        <v>285189.36</v>
      </c>
    </row>
    <row r="20" spans="1:8" ht="15" x14ac:dyDescent="0.25">
      <c r="A20" s="346"/>
      <c r="B20" s="150" t="s">
        <v>303</v>
      </c>
      <c r="C20" s="125">
        <f>'Motorista - Noturno'!F113</f>
        <v>12680.14</v>
      </c>
      <c r="D20" s="124">
        <v>2</v>
      </c>
      <c r="E20" s="140">
        <v>1</v>
      </c>
      <c r="F20" s="134">
        <f t="shared" si="2"/>
        <v>25360.28</v>
      </c>
      <c r="G20" s="134">
        <f t="shared" si="3"/>
        <v>25360.28</v>
      </c>
      <c r="H20" s="141">
        <f t="shared" si="4"/>
        <v>304323.36</v>
      </c>
    </row>
    <row r="21" spans="1:8" ht="15" x14ac:dyDescent="0.25">
      <c r="A21" s="346"/>
      <c r="B21" s="150" t="s">
        <v>232</v>
      </c>
      <c r="C21" s="134">
        <f>'Enfermeiro - Diurno'!D112</f>
        <v>13253.77</v>
      </c>
      <c r="D21" s="124">
        <v>2</v>
      </c>
      <c r="E21" s="140">
        <v>1</v>
      </c>
      <c r="F21" s="134">
        <f t="shared" si="2"/>
        <v>26507.54</v>
      </c>
      <c r="G21" s="134">
        <f t="shared" si="3"/>
        <v>26507.54</v>
      </c>
      <c r="H21" s="141">
        <f t="shared" si="4"/>
        <v>318090.48</v>
      </c>
    </row>
    <row r="22" spans="1:8" ht="15" x14ac:dyDescent="0.25">
      <c r="A22" s="346"/>
      <c r="B22" s="150" t="s">
        <v>239</v>
      </c>
      <c r="C22" s="134">
        <f>'Enfermeiro - Noturno'!D113</f>
        <v>14559.04</v>
      </c>
      <c r="D22" s="124">
        <v>2</v>
      </c>
      <c r="E22" s="140">
        <v>1</v>
      </c>
      <c r="F22" s="134">
        <f t="shared" si="2"/>
        <v>29118.080000000002</v>
      </c>
      <c r="G22" s="134">
        <f t="shared" si="3"/>
        <v>29118.080000000002</v>
      </c>
      <c r="H22" s="141">
        <f t="shared" si="4"/>
        <v>349416.96000000002</v>
      </c>
    </row>
    <row r="23" spans="1:8" ht="15" x14ac:dyDescent="0.25">
      <c r="A23" s="346"/>
      <c r="B23" s="150" t="s">
        <v>233</v>
      </c>
      <c r="C23" s="134">
        <f>'Médico - Diurno '!D112</f>
        <v>41804.25</v>
      </c>
      <c r="D23" s="124">
        <v>2</v>
      </c>
      <c r="E23" s="140">
        <v>1</v>
      </c>
      <c r="F23" s="134">
        <f t="shared" si="2"/>
        <v>83608.5</v>
      </c>
      <c r="G23" s="134">
        <f t="shared" si="3"/>
        <v>83608.5</v>
      </c>
      <c r="H23" s="141">
        <f t="shared" si="4"/>
        <v>1003302</v>
      </c>
    </row>
    <row r="24" spans="1:8" ht="15.75" thickBot="1" x14ac:dyDescent="0.3">
      <c r="A24" s="346"/>
      <c r="B24" s="208" t="s">
        <v>240</v>
      </c>
      <c r="C24" s="189">
        <f>'Médico - Noturno'!D112</f>
        <v>46286</v>
      </c>
      <c r="D24" s="190">
        <v>2</v>
      </c>
      <c r="E24" s="191">
        <v>1</v>
      </c>
      <c r="F24" s="189">
        <f t="shared" si="2"/>
        <v>92572</v>
      </c>
      <c r="G24" s="189">
        <f t="shared" si="3"/>
        <v>92572</v>
      </c>
      <c r="H24" s="192">
        <f t="shared" si="4"/>
        <v>1110864</v>
      </c>
    </row>
    <row r="25" spans="1:8" ht="15.75" thickBot="1" x14ac:dyDescent="0.3">
      <c r="A25" s="336" t="s">
        <v>189</v>
      </c>
      <c r="B25" s="337"/>
      <c r="C25" s="337"/>
      <c r="D25" s="337"/>
      <c r="E25" s="337"/>
      <c r="F25" s="337"/>
      <c r="G25" s="337"/>
      <c r="H25" s="338"/>
    </row>
    <row r="26" spans="1:8" ht="15" x14ac:dyDescent="0.25">
      <c r="A26" s="347">
        <v>3</v>
      </c>
      <c r="B26" s="194" t="s">
        <v>302</v>
      </c>
      <c r="C26" s="195">
        <f>'Motorista - Diurno'!D112</f>
        <v>11227.44</v>
      </c>
      <c r="D26" s="196">
        <v>2</v>
      </c>
      <c r="E26" s="197">
        <v>1</v>
      </c>
      <c r="F26" s="193">
        <f>C26*D26</f>
        <v>22454.880000000001</v>
      </c>
      <c r="G26" s="193">
        <f>F26*E26</f>
        <v>22454.880000000001</v>
      </c>
      <c r="H26" s="204">
        <f>G26*12</f>
        <v>269458.56</v>
      </c>
    </row>
    <row r="27" spans="1:8" ht="15" x14ac:dyDescent="0.25">
      <c r="A27" s="348"/>
      <c r="B27" s="150" t="s">
        <v>303</v>
      </c>
      <c r="C27" s="125">
        <f>'Motorista - Noturno'!D113</f>
        <v>12177.06</v>
      </c>
      <c r="D27" s="124">
        <v>2</v>
      </c>
      <c r="E27" s="140">
        <v>1</v>
      </c>
      <c r="F27" s="134">
        <f>C27*D27</f>
        <v>24354.12</v>
      </c>
      <c r="G27" s="134">
        <f>F27*E27</f>
        <v>24354.12</v>
      </c>
      <c r="H27" s="141">
        <f>G27*12</f>
        <v>292249.44</v>
      </c>
    </row>
    <row r="28" spans="1:8" ht="15" x14ac:dyDescent="0.25">
      <c r="A28" s="348"/>
      <c r="B28" s="150" t="s">
        <v>237</v>
      </c>
      <c r="C28" s="134">
        <f>'Técnico de Enfermagem - Diurno'!D113</f>
        <v>10572.07</v>
      </c>
      <c r="D28" s="124">
        <v>2</v>
      </c>
      <c r="E28" s="140">
        <v>1</v>
      </c>
      <c r="F28" s="134">
        <f>C28*D28</f>
        <v>21144.14</v>
      </c>
      <c r="G28" s="134">
        <f>F28*E28</f>
        <v>21144.14</v>
      </c>
      <c r="H28" s="141">
        <f>G28*12</f>
        <v>253729.68</v>
      </c>
    </row>
    <row r="29" spans="1:8" ht="15.75" thickBot="1" x14ac:dyDescent="0.3">
      <c r="A29" s="349"/>
      <c r="B29" s="208" t="s">
        <v>236</v>
      </c>
      <c r="C29" s="189">
        <f>'Técnico de Enfermagem - Noturno'!D113</f>
        <v>11540.72</v>
      </c>
      <c r="D29" s="190">
        <v>2</v>
      </c>
      <c r="E29" s="191">
        <v>1</v>
      </c>
      <c r="F29" s="189">
        <f>C29*D29</f>
        <v>23081.439999999999</v>
      </c>
      <c r="G29" s="189">
        <f>F29*E29</f>
        <v>23081.439999999999</v>
      </c>
      <c r="H29" s="192">
        <f>G29*12</f>
        <v>276977.28000000003</v>
      </c>
    </row>
    <row r="30" spans="1:8" ht="15.75" thickBot="1" x14ac:dyDescent="0.3">
      <c r="A30" s="336" t="s">
        <v>189</v>
      </c>
      <c r="B30" s="337"/>
      <c r="C30" s="337"/>
      <c r="D30" s="337"/>
      <c r="E30" s="337"/>
      <c r="F30" s="337"/>
      <c r="G30" s="337"/>
      <c r="H30" s="338"/>
    </row>
    <row r="31" spans="1:8" ht="15" x14ac:dyDescent="0.25">
      <c r="A31" s="345">
        <v>4</v>
      </c>
      <c r="B31" s="153" t="s">
        <v>302</v>
      </c>
      <c r="C31" s="130">
        <f>'Motorista - Diurno'!E112</f>
        <v>11398.64</v>
      </c>
      <c r="D31" s="131">
        <v>2</v>
      </c>
      <c r="E31" s="132">
        <v>2</v>
      </c>
      <c r="F31" s="130">
        <f>C31*D31</f>
        <v>22797.279999999999</v>
      </c>
      <c r="G31" s="130">
        <f>F31*E31</f>
        <v>45594.559999999998</v>
      </c>
      <c r="H31" s="133">
        <f>G31*12</f>
        <v>547134.71999999997</v>
      </c>
    </row>
    <row r="32" spans="1:8" ht="15" x14ac:dyDescent="0.25">
      <c r="A32" s="346"/>
      <c r="B32" s="150" t="s">
        <v>303</v>
      </c>
      <c r="C32" s="134">
        <f>'Motorista - Noturno'!E113</f>
        <v>12348.24</v>
      </c>
      <c r="D32" s="124">
        <v>2</v>
      </c>
      <c r="E32" s="140">
        <v>2</v>
      </c>
      <c r="F32" s="134">
        <f>C32*D32</f>
        <v>24696.48</v>
      </c>
      <c r="G32" s="134">
        <f>F32*E32</f>
        <v>49392.959999999999</v>
      </c>
      <c r="H32" s="141">
        <f>G32*12</f>
        <v>592715.52000000002</v>
      </c>
    </row>
    <row r="33" spans="1:9" ht="15" x14ac:dyDescent="0.25">
      <c r="A33" s="346"/>
      <c r="B33" s="150" t="s">
        <v>237</v>
      </c>
      <c r="C33" s="125">
        <f>'Técnico de Enfermagem - Diurno'!E113</f>
        <v>10572.07</v>
      </c>
      <c r="D33" s="124">
        <v>2</v>
      </c>
      <c r="E33" s="140">
        <v>2</v>
      </c>
      <c r="F33" s="134">
        <f>C33*D33</f>
        <v>21144.14</v>
      </c>
      <c r="G33" s="134">
        <f>F33*E33</f>
        <v>42288.28</v>
      </c>
      <c r="H33" s="141">
        <f>G33*12</f>
        <v>507459.36</v>
      </c>
    </row>
    <row r="34" spans="1:9" ht="15.75" thickBot="1" x14ac:dyDescent="0.3">
      <c r="A34" s="350"/>
      <c r="B34" s="209" t="s">
        <v>236</v>
      </c>
      <c r="C34" s="135">
        <f>'Técnico de Enfermagem - Noturno'!E113</f>
        <v>11540.72</v>
      </c>
      <c r="D34" s="136">
        <v>2</v>
      </c>
      <c r="E34" s="137">
        <v>2</v>
      </c>
      <c r="F34" s="138">
        <f>C34*D34</f>
        <v>23081.439999999999</v>
      </c>
      <c r="G34" s="138">
        <f>F34*E34</f>
        <v>46162.879999999997</v>
      </c>
      <c r="H34" s="139">
        <f>G34*12</f>
        <v>553954.56000000006</v>
      </c>
    </row>
    <row r="35" spans="1:9" ht="15.75" thickBot="1" x14ac:dyDescent="0.3">
      <c r="A35" s="336" t="s">
        <v>238</v>
      </c>
      <c r="B35" s="337"/>
      <c r="C35" s="337"/>
      <c r="D35" s="337"/>
      <c r="E35" s="337"/>
      <c r="F35" s="337"/>
      <c r="G35" s="337"/>
      <c r="H35" s="338"/>
    </row>
    <row r="36" spans="1:9" ht="15" x14ac:dyDescent="0.25">
      <c r="A36" s="345">
        <v>5</v>
      </c>
      <c r="B36" s="153" t="s">
        <v>302</v>
      </c>
      <c r="C36" s="154">
        <f>'Motorista - Diurno'!G112</f>
        <v>12054.07</v>
      </c>
      <c r="D36" s="131">
        <v>2</v>
      </c>
      <c r="E36" s="132">
        <v>1</v>
      </c>
      <c r="F36" s="130">
        <f t="shared" ref="F36:F41" si="5">C36*D36</f>
        <v>24108.14</v>
      </c>
      <c r="G36" s="130">
        <f>F36*E36</f>
        <v>24108.14</v>
      </c>
      <c r="H36" s="133">
        <f t="shared" ref="H36:H41" si="6">G36*12</f>
        <v>289297.68</v>
      </c>
    </row>
    <row r="37" spans="1:9" ht="15" x14ac:dyDescent="0.25">
      <c r="A37" s="346"/>
      <c r="B37" s="150" t="s">
        <v>303</v>
      </c>
      <c r="C37" s="125">
        <f>'Motorista - Noturno'!G113</f>
        <v>11821.86</v>
      </c>
      <c r="D37" s="124">
        <v>2</v>
      </c>
      <c r="E37" s="140">
        <v>1</v>
      </c>
      <c r="F37" s="134">
        <f t="shared" si="5"/>
        <v>23643.72</v>
      </c>
      <c r="G37" s="134">
        <f t="shared" ref="G37:G41" si="7">F37*E37</f>
        <v>23643.72</v>
      </c>
      <c r="H37" s="141">
        <f t="shared" si="6"/>
        <v>283724.64</v>
      </c>
    </row>
    <row r="38" spans="1:9" ht="15" x14ac:dyDescent="0.25">
      <c r="A38" s="346"/>
      <c r="B38" s="150" t="s">
        <v>232</v>
      </c>
      <c r="C38" s="125">
        <f>'Enfermeiro - Diurno'!E112</f>
        <v>13253.77</v>
      </c>
      <c r="D38" s="124">
        <v>2</v>
      </c>
      <c r="E38" s="140">
        <v>1</v>
      </c>
      <c r="F38" s="134">
        <f t="shared" si="5"/>
        <v>26507.54</v>
      </c>
      <c r="G38" s="134">
        <f t="shared" si="7"/>
        <v>26507.54</v>
      </c>
      <c r="H38" s="141">
        <f t="shared" si="6"/>
        <v>318090.48</v>
      </c>
    </row>
    <row r="39" spans="1:9" ht="15" x14ac:dyDescent="0.25">
      <c r="A39" s="346"/>
      <c r="B39" s="150" t="s">
        <v>239</v>
      </c>
      <c r="C39" s="125">
        <f>'Enfermeiro - Noturno'!E113</f>
        <v>14559.04</v>
      </c>
      <c r="D39" s="124">
        <v>2</v>
      </c>
      <c r="E39" s="140">
        <v>1</v>
      </c>
      <c r="F39" s="134">
        <f t="shared" si="5"/>
        <v>29118.080000000002</v>
      </c>
      <c r="G39" s="134">
        <f t="shared" si="7"/>
        <v>29118.080000000002</v>
      </c>
      <c r="H39" s="141">
        <f t="shared" si="6"/>
        <v>349416.96000000002</v>
      </c>
    </row>
    <row r="40" spans="1:9" ht="15" x14ac:dyDescent="0.25">
      <c r="A40" s="346"/>
      <c r="B40" s="150" t="s">
        <v>233</v>
      </c>
      <c r="C40" s="134">
        <f>'Médico - Diurno '!E112</f>
        <v>41804.25</v>
      </c>
      <c r="D40" s="124">
        <v>2</v>
      </c>
      <c r="E40" s="140">
        <v>1</v>
      </c>
      <c r="F40" s="134">
        <f t="shared" si="5"/>
        <v>83608.5</v>
      </c>
      <c r="G40" s="134">
        <f t="shared" si="7"/>
        <v>83608.5</v>
      </c>
      <c r="H40" s="141">
        <f t="shared" si="6"/>
        <v>1003302</v>
      </c>
    </row>
    <row r="41" spans="1:9" ht="15.75" thickBot="1" x14ac:dyDescent="0.3">
      <c r="A41" s="346"/>
      <c r="B41" s="208" t="s">
        <v>240</v>
      </c>
      <c r="C41" s="134">
        <f>'Médico - Noturno'!E112</f>
        <v>46286</v>
      </c>
      <c r="D41" s="124">
        <v>2</v>
      </c>
      <c r="E41" s="140">
        <v>1</v>
      </c>
      <c r="F41" s="134">
        <f t="shared" si="5"/>
        <v>92572</v>
      </c>
      <c r="G41" s="134">
        <f t="shared" si="7"/>
        <v>92572</v>
      </c>
      <c r="H41" s="141">
        <f t="shared" si="6"/>
        <v>1110864</v>
      </c>
    </row>
    <row r="42" spans="1:9" ht="15.75" customHeight="1" thickBot="1" x14ac:dyDescent="0.3">
      <c r="A42" s="358" t="s">
        <v>189</v>
      </c>
      <c r="B42" s="359"/>
      <c r="C42" s="359"/>
      <c r="D42" s="359"/>
      <c r="E42" s="359"/>
      <c r="F42" s="359"/>
      <c r="G42" s="359"/>
      <c r="H42" s="360"/>
    </row>
    <row r="43" spans="1:9" ht="15" x14ac:dyDescent="0.25">
      <c r="A43" s="361">
        <v>6</v>
      </c>
      <c r="B43" s="153" t="s">
        <v>302</v>
      </c>
      <c r="C43" s="130">
        <f>'Motorista - Diurno'!I112</f>
        <v>11227.44</v>
      </c>
      <c r="D43" s="131">
        <v>2</v>
      </c>
      <c r="E43" s="132">
        <v>2</v>
      </c>
      <c r="F43" s="130">
        <f>C43*D43</f>
        <v>22454.880000000001</v>
      </c>
      <c r="G43" s="130">
        <f>F43*E43</f>
        <v>44909.760000000002</v>
      </c>
      <c r="H43" s="133">
        <f>G43*12</f>
        <v>538917.12</v>
      </c>
    </row>
    <row r="44" spans="1:9" ht="15" x14ac:dyDescent="0.25">
      <c r="A44" s="348"/>
      <c r="B44" s="150" t="s">
        <v>303</v>
      </c>
      <c r="C44" s="134">
        <f>'Motorista - Noturno'!H113</f>
        <v>12177.06</v>
      </c>
      <c r="D44" s="124">
        <v>2</v>
      </c>
      <c r="E44" s="140">
        <v>2</v>
      </c>
      <c r="F44" s="134">
        <f t="shared" ref="F44:F46" si="8">C44*D44</f>
        <v>24354.12</v>
      </c>
      <c r="G44" s="134">
        <f>F44*E44</f>
        <v>48708.24</v>
      </c>
      <c r="H44" s="141">
        <f>G44*12</f>
        <v>584498.88</v>
      </c>
      <c r="I44" s="270"/>
    </row>
    <row r="45" spans="1:9" ht="15" x14ac:dyDescent="0.25">
      <c r="A45" s="348"/>
      <c r="B45" s="150" t="s">
        <v>237</v>
      </c>
      <c r="C45" s="125">
        <f>'Técnico de Enfermagem - Diurno'!G113</f>
        <v>10572.07</v>
      </c>
      <c r="D45" s="124">
        <v>2</v>
      </c>
      <c r="E45" s="140">
        <v>2</v>
      </c>
      <c r="F45" s="134">
        <f t="shared" si="8"/>
        <v>21144.14</v>
      </c>
      <c r="G45" s="134">
        <f>F45*E45</f>
        <v>42288.28</v>
      </c>
      <c r="H45" s="141">
        <f>G45*12</f>
        <v>507459.36</v>
      </c>
    </row>
    <row r="46" spans="1:9" ht="15.75" thickBot="1" x14ac:dyDescent="0.3">
      <c r="A46" s="362"/>
      <c r="B46" s="209" t="s">
        <v>236</v>
      </c>
      <c r="C46" s="135">
        <f>'Técnico de Enfermagem - Noturno'!F113</f>
        <v>11540.72</v>
      </c>
      <c r="D46" s="136">
        <v>2</v>
      </c>
      <c r="E46" s="137">
        <v>2</v>
      </c>
      <c r="F46" s="138">
        <f t="shared" si="8"/>
        <v>23081.439999999999</v>
      </c>
      <c r="G46" s="138">
        <f>F46*E46</f>
        <v>46162.879999999997</v>
      </c>
      <c r="H46" s="139">
        <f>G46*12</f>
        <v>553954.56000000006</v>
      </c>
    </row>
    <row r="47" spans="1:9" ht="15.75" thickBot="1" x14ac:dyDescent="0.3">
      <c r="A47" s="363" t="s">
        <v>238</v>
      </c>
      <c r="B47" s="364"/>
      <c r="C47" s="364"/>
      <c r="D47" s="364"/>
      <c r="E47" s="364"/>
      <c r="F47" s="364"/>
      <c r="G47" s="364"/>
      <c r="H47" s="365"/>
    </row>
    <row r="48" spans="1:9" ht="15" x14ac:dyDescent="0.25">
      <c r="A48" s="361">
        <v>7</v>
      </c>
      <c r="B48" s="153" t="s">
        <v>302</v>
      </c>
      <c r="C48" s="154">
        <f>'Motorista - Diurno'!J112</f>
        <v>11882.89</v>
      </c>
      <c r="D48" s="131">
        <v>2</v>
      </c>
      <c r="E48" s="132">
        <v>1</v>
      </c>
      <c r="F48" s="130">
        <f>C48*D48</f>
        <v>23765.78</v>
      </c>
      <c r="G48" s="130">
        <f>F48*E48</f>
        <v>23765.78</v>
      </c>
      <c r="H48" s="133">
        <f t="shared" ref="H48:H53" si="9">G48*12</f>
        <v>285189.36</v>
      </c>
    </row>
    <row r="49" spans="1:8" ht="15" x14ac:dyDescent="0.25">
      <c r="A49" s="348"/>
      <c r="B49" s="150" t="s">
        <v>303</v>
      </c>
      <c r="C49" s="125">
        <f>'Motorista - Noturno'!I113</f>
        <v>12963.12</v>
      </c>
      <c r="D49" s="124">
        <v>2</v>
      </c>
      <c r="E49" s="140">
        <v>1</v>
      </c>
      <c r="F49" s="134">
        <f t="shared" ref="F49" si="10">C49*D49</f>
        <v>25926.240000000002</v>
      </c>
      <c r="G49" s="134">
        <f t="shared" ref="G49:G53" si="11">F49*E49</f>
        <v>25926.240000000002</v>
      </c>
      <c r="H49" s="141">
        <f t="shared" si="9"/>
        <v>311114.88</v>
      </c>
    </row>
    <row r="50" spans="1:8" ht="15" x14ac:dyDescent="0.25">
      <c r="A50" s="348"/>
      <c r="B50" s="150" t="s">
        <v>232</v>
      </c>
      <c r="C50" s="134">
        <f>'Enfermeiro - Diurno'!F112</f>
        <v>13253.77</v>
      </c>
      <c r="D50" s="124">
        <v>2</v>
      </c>
      <c r="E50" s="140">
        <v>1</v>
      </c>
      <c r="F50" s="134">
        <f>C50*D50</f>
        <v>26507.54</v>
      </c>
      <c r="G50" s="134">
        <f t="shared" si="11"/>
        <v>26507.54</v>
      </c>
      <c r="H50" s="141">
        <f t="shared" si="9"/>
        <v>318090.48</v>
      </c>
    </row>
    <row r="51" spans="1:8" ht="15" x14ac:dyDescent="0.25">
      <c r="A51" s="348"/>
      <c r="B51" s="150" t="s">
        <v>239</v>
      </c>
      <c r="C51" s="134">
        <f>'Enfermeiro - Noturno'!F113</f>
        <v>14559.04</v>
      </c>
      <c r="D51" s="124">
        <v>2</v>
      </c>
      <c r="E51" s="140">
        <v>1</v>
      </c>
      <c r="F51" s="134">
        <f>C51*D51</f>
        <v>29118.080000000002</v>
      </c>
      <c r="G51" s="134">
        <f>F51*E51</f>
        <v>29118.080000000002</v>
      </c>
      <c r="H51" s="141">
        <f t="shared" si="9"/>
        <v>349416.96000000002</v>
      </c>
    </row>
    <row r="52" spans="1:8" ht="15" x14ac:dyDescent="0.25">
      <c r="A52" s="348"/>
      <c r="B52" s="150" t="s">
        <v>233</v>
      </c>
      <c r="C52" s="134">
        <f>'Médico - Diurno '!F112</f>
        <v>41804.25</v>
      </c>
      <c r="D52" s="124">
        <v>2</v>
      </c>
      <c r="E52" s="140">
        <v>1</v>
      </c>
      <c r="F52" s="134">
        <f>C52*D52</f>
        <v>83608.5</v>
      </c>
      <c r="G52" s="134">
        <f>F52*E52</f>
        <v>83608.5</v>
      </c>
      <c r="H52" s="141">
        <f t="shared" si="9"/>
        <v>1003302</v>
      </c>
    </row>
    <row r="53" spans="1:8" ht="15.75" thickBot="1" x14ac:dyDescent="0.3">
      <c r="A53" s="362"/>
      <c r="B53" s="209" t="s">
        <v>240</v>
      </c>
      <c r="C53" s="138">
        <f>'Médico - Noturno'!F112</f>
        <v>46286</v>
      </c>
      <c r="D53" s="136">
        <v>2</v>
      </c>
      <c r="E53" s="137">
        <v>1</v>
      </c>
      <c r="F53" s="138">
        <f>C53*D53</f>
        <v>92572</v>
      </c>
      <c r="G53" s="138">
        <f t="shared" si="11"/>
        <v>92572</v>
      </c>
      <c r="H53" s="139">
        <f t="shared" si="9"/>
        <v>1110864</v>
      </c>
    </row>
    <row r="54" spans="1:8" ht="15.75" thickBot="1" x14ac:dyDescent="0.3">
      <c r="A54" s="333" t="s">
        <v>235</v>
      </c>
      <c r="B54" s="334"/>
      <c r="C54" s="334"/>
      <c r="D54" s="334"/>
      <c r="E54" s="334"/>
      <c r="F54" s="334"/>
      <c r="G54" s="335"/>
      <c r="H54" s="271">
        <f>SUM(H16:H53)</f>
        <v>16190360.4</v>
      </c>
    </row>
  </sheetData>
  <mergeCells count="21">
    <mergeCell ref="A43:A46"/>
    <mergeCell ref="A47:H47"/>
    <mergeCell ref="A48:A53"/>
    <mergeCell ref="A35:H35"/>
    <mergeCell ref="A19:A24"/>
    <mergeCell ref="A54:G54"/>
    <mergeCell ref="A25:H25"/>
    <mergeCell ref="A1:H1"/>
    <mergeCell ref="A10:G10"/>
    <mergeCell ref="A11:H11"/>
    <mergeCell ref="A16:A17"/>
    <mergeCell ref="A26:A29"/>
    <mergeCell ref="A31:A34"/>
    <mergeCell ref="A36:A41"/>
    <mergeCell ref="A12:H12"/>
    <mergeCell ref="A13:B13"/>
    <mergeCell ref="A14:B14"/>
    <mergeCell ref="A30:H30"/>
    <mergeCell ref="A18:H18"/>
    <mergeCell ref="A15:H15"/>
    <mergeCell ref="A42:H42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view="pageBreakPreview" topLeftCell="A97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8" width="16.7109375" style="32" customWidth="1"/>
    <col min="9" max="10" width="16.7109375" style="28" customWidth="1"/>
    <col min="11" max="16384" width="9.140625" style="28"/>
  </cols>
  <sheetData>
    <row r="1" spans="1:10" x14ac:dyDescent="0.25">
      <c r="A1" s="391"/>
      <c r="B1" s="392"/>
      <c r="C1" s="392"/>
      <c r="D1" s="392"/>
      <c r="E1" s="392"/>
      <c r="F1" s="392"/>
      <c r="G1" s="392"/>
      <c r="H1" s="392"/>
      <c r="I1" s="392"/>
      <c r="J1" s="393"/>
    </row>
    <row r="2" spans="1:10" s="38" customFormat="1" ht="16.5" customHeight="1" x14ac:dyDescent="0.25">
      <c r="A2" s="394" t="s">
        <v>132</v>
      </c>
      <c r="B2" s="395"/>
      <c r="C2" s="395"/>
      <c r="D2" s="395"/>
      <c r="E2" s="395"/>
      <c r="F2" s="395"/>
      <c r="G2" s="395"/>
      <c r="H2" s="395"/>
      <c r="I2" s="395"/>
      <c r="J2" s="396"/>
    </row>
    <row r="3" spans="1:10" s="38" customFormat="1" x14ac:dyDescent="0.25">
      <c r="A3" s="397" t="s">
        <v>129</v>
      </c>
      <c r="B3" s="398"/>
      <c r="C3" s="398"/>
      <c r="D3" s="398"/>
      <c r="E3" s="398"/>
      <c r="F3" s="398"/>
      <c r="G3" s="398"/>
      <c r="H3" s="398"/>
      <c r="I3" s="398"/>
      <c r="J3" s="399"/>
    </row>
    <row r="4" spans="1:10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0"/>
      <c r="G4" s="400"/>
      <c r="H4" s="400"/>
      <c r="I4" s="400"/>
      <c r="J4" s="401"/>
    </row>
    <row r="5" spans="1:10" s="38" customFormat="1" ht="45" customHeight="1" x14ac:dyDescent="0.25">
      <c r="A5" s="40" t="s">
        <v>2</v>
      </c>
      <c r="B5" s="41" t="s">
        <v>140</v>
      </c>
      <c r="C5" s="402" t="s">
        <v>274</v>
      </c>
      <c r="D5" s="402"/>
      <c r="E5" s="402"/>
      <c r="F5" s="402"/>
      <c r="G5" s="402"/>
      <c r="H5" s="402"/>
      <c r="I5" s="402"/>
      <c r="J5" s="403"/>
    </row>
    <row r="6" spans="1:10" s="38" customFormat="1" ht="15.75" customHeight="1" x14ac:dyDescent="0.25">
      <c r="A6" s="40" t="s">
        <v>3</v>
      </c>
      <c r="B6" s="41" t="s">
        <v>4</v>
      </c>
      <c r="C6" s="402" t="s">
        <v>285</v>
      </c>
      <c r="D6" s="402"/>
      <c r="E6" s="402"/>
      <c r="F6" s="402"/>
      <c r="G6" s="402"/>
      <c r="H6" s="402"/>
      <c r="I6" s="402"/>
      <c r="J6" s="403"/>
    </row>
    <row r="7" spans="1:10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2"/>
      <c r="G7" s="402"/>
      <c r="H7" s="402"/>
      <c r="I7" s="402"/>
      <c r="J7" s="403"/>
    </row>
    <row r="8" spans="1:10" s="38" customFormat="1" x14ac:dyDescent="0.25">
      <c r="A8" s="397" t="s">
        <v>6</v>
      </c>
      <c r="B8" s="398"/>
      <c r="C8" s="398"/>
      <c r="D8" s="398"/>
      <c r="E8" s="398"/>
      <c r="F8" s="398"/>
      <c r="G8" s="398"/>
      <c r="H8" s="398"/>
      <c r="I8" s="398"/>
      <c r="J8" s="399"/>
    </row>
    <row r="9" spans="1:10" s="38" customFormat="1" x14ac:dyDescent="0.25">
      <c r="A9" s="397" t="s">
        <v>7</v>
      </c>
      <c r="B9" s="398"/>
      <c r="C9" s="398"/>
      <c r="D9" s="398"/>
      <c r="E9" s="398"/>
      <c r="F9" s="398"/>
      <c r="G9" s="398"/>
      <c r="H9" s="398"/>
      <c r="I9" s="398"/>
      <c r="J9" s="399"/>
    </row>
    <row r="10" spans="1:10" s="38" customFormat="1" ht="15.75" customHeight="1" x14ac:dyDescent="0.25">
      <c r="A10" s="397" t="s">
        <v>8</v>
      </c>
      <c r="B10" s="398"/>
      <c r="C10" s="398"/>
      <c r="D10" s="398"/>
      <c r="E10" s="398"/>
      <c r="F10" s="398"/>
      <c r="G10" s="398"/>
      <c r="H10" s="398"/>
      <c r="I10" s="398"/>
      <c r="J10" s="399"/>
    </row>
    <row r="11" spans="1:10" s="38" customFormat="1" ht="30" customHeight="1" x14ac:dyDescent="0.25">
      <c r="A11" s="406" t="s">
        <v>9</v>
      </c>
      <c r="B11" s="407"/>
      <c r="C11" s="408"/>
      <c r="D11" s="409" t="s">
        <v>10</v>
      </c>
      <c r="E11" s="407"/>
      <c r="F11" s="407"/>
      <c r="G11" s="407"/>
      <c r="H11" s="407"/>
      <c r="I11" s="407"/>
      <c r="J11" s="410"/>
    </row>
    <row r="12" spans="1:10" s="38" customFormat="1" ht="30" customHeight="1" x14ac:dyDescent="0.25">
      <c r="A12" s="40">
        <v>1</v>
      </c>
      <c r="B12" s="42" t="s">
        <v>133</v>
      </c>
      <c r="C12" s="414" t="s">
        <v>265</v>
      </c>
      <c r="D12" s="414"/>
      <c r="E12" s="414"/>
      <c r="F12" s="414"/>
      <c r="G12" s="414"/>
      <c r="H12" s="414"/>
      <c r="I12" s="414"/>
      <c r="J12" s="415"/>
    </row>
    <row r="13" spans="1:10" s="38" customFormat="1" ht="30" customHeight="1" x14ac:dyDescent="0.25">
      <c r="A13" s="40">
        <v>2</v>
      </c>
      <c r="B13" s="42" t="s">
        <v>11</v>
      </c>
      <c r="C13" s="418">
        <v>3248.32</v>
      </c>
      <c r="D13" s="419"/>
      <c r="E13" s="419"/>
      <c r="F13" s="420"/>
      <c r="G13" s="421">
        <v>3772.76</v>
      </c>
      <c r="H13" s="422"/>
      <c r="I13" s="422"/>
      <c r="J13" s="423"/>
    </row>
    <row r="14" spans="1:10" s="38" customFormat="1" ht="15.75" customHeight="1" x14ac:dyDescent="0.25">
      <c r="A14" s="40">
        <v>3</v>
      </c>
      <c r="B14" s="42" t="s">
        <v>12</v>
      </c>
      <c r="C14" s="414" t="s">
        <v>264</v>
      </c>
      <c r="D14" s="414"/>
      <c r="E14" s="414"/>
      <c r="F14" s="414"/>
      <c r="G14" s="414"/>
      <c r="H14" s="414"/>
      <c r="I14" s="414"/>
      <c r="J14" s="415"/>
    </row>
    <row r="15" spans="1:10" s="38" customFormat="1" x14ac:dyDescent="0.25">
      <c r="A15" s="40">
        <v>4</v>
      </c>
      <c r="B15" s="43" t="s">
        <v>13</v>
      </c>
      <c r="C15" s="404">
        <v>2024</v>
      </c>
      <c r="D15" s="404"/>
      <c r="E15" s="404"/>
      <c r="F15" s="404"/>
      <c r="G15" s="404"/>
      <c r="H15" s="404"/>
      <c r="I15" s="404"/>
      <c r="J15" s="405"/>
    </row>
    <row r="16" spans="1:10" s="39" customFormat="1" x14ac:dyDescent="0.25">
      <c r="A16" s="416" t="s">
        <v>14</v>
      </c>
      <c r="B16" s="417"/>
      <c r="C16" s="417"/>
      <c r="D16" s="278" t="s">
        <v>301</v>
      </c>
      <c r="E16" s="280" t="s">
        <v>272</v>
      </c>
      <c r="F16" s="278" t="s">
        <v>317</v>
      </c>
      <c r="G16" s="279" t="s">
        <v>273</v>
      </c>
      <c r="H16" s="278" t="s">
        <v>301</v>
      </c>
      <c r="I16" s="278" t="s">
        <v>310</v>
      </c>
      <c r="J16" s="261" t="s">
        <v>311</v>
      </c>
    </row>
    <row r="17" spans="1:10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7" t="s">
        <v>10</v>
      </c>
      <c r="G17" s="57" t="s">
        <v>10</v>
      </c>
      <c r="H17" s="57" t="s">
        <v>10</v>
      </c>
      <c r="I17" s="57" t="s">
        <v>10</v>
      </c>
      <c r="J17" s="58" t="s">
        <v>10</v>
      </c>
    </row>
    <row r="18" spans="1:10" s="38" customFormat="1" ht="15.75" customHeight="1" x14ac:dyDescent="0.25">
      <c r="A18" s="44" t="s">
        <v>0</v>
      </c>
      <c r="B18" s="45" t="s">
        <v>16</v>
      </c>
      <c r="C18" s="43"/>
      <c r="D18" s="74">
        <f>C13</f>
        <v>3248.32</v>
      </c>
      <c r="E18" s="74">
        <f>C13</f>
        <v>3248.32</v>
      </c>
      <c r="F18" s="64">
        <f>G13</f>
        <v>3772.76</v>
      </c>
      <c r="G18" s="64">
        <f>G13</f>
        <v>3772.76</v>
      </c>
      <c r="H18" s="74">
        <f>C13</f>
        <v>3248.32</v>
      </c>
      <c r="I18" s="74">
        <f>C13</f>
        <v>3248.32</v>
      </c>
      <c r="J18" s="167">
        <f>G13</f>
        <v>3772.76</v>
      </c>
    </row>
    <row r="19" spans="1:10" s="38" customFormat="1" ht="15.75" customHeight="1" x14ac:dyDescent="0.25">
      <c r="A19" s="44" t="s">
        <v>2</v>
      </c>
      <c r="B19" s="45" t="s">
        <v>17</v>
      </c>
      <c r="C19" s="75"/>
      <c r="D19" s="122"/>
      <c r="E19" s="122"/>
      <c r="F19" s="122"/>
      <c r="G19" s="122"/>
      <c r="H19" s="122"/>
      <c r="I19" s="122"/>
      <c r="J19" s="156"/>
    </row>
    <row r="20" spans="1:10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2">
        <f t="shared" ref="D20:J20" si="0">40%*1412</f>
        <v>564.79999999999995</v>
      </c>
      <c r="E20" s="72">
        <f t="shared" si="0"/>
        <v>564.79999999999995</v>
      </c>
      <c r="F20" s="72">
        <f t="shared" si="0"/>
        <v>564.79999999999995</v>
      </c>
      <c r="G20" s="72">
        <f t="shared" si="0"/>
        <v>564.79999999999995</v>
      </c>
      <c r="H20" s="72">
        <f t="shared" si="0"/>
        <v>564.79999999999995</v>
      </c>
      <c r="I20" s="72">
        <f t="shared" si="0"/>
        <v>564.79999999999995</v>
      </c>
      <c r="J20" s="157">
        <f t="shared" si="0"/>
        <v>564.79999999999995</v>
      </c>
    </row>
    <row r="21" spans="1:10" s="38" customFormat="1" ht="15.75" customHeight="1" x14ac:dyDescent="0.25">
      <c r="A21" s="44" t="s">
        <v>5</v>
      </c>
      <c r="B21" s="45" t="s">
        <v>19</v>
      </c>
      <c r="C21" s="75"/>
      <c r="D21" s="122"/>
      <c r="E21" s="122"/>
      <c r="F21" s="122"/>
      <c r="G21" s="122"/>
      <c r="H21" s="122"/>
      <c r="I21" s="122"/>
      <c r="J21" s="156"/>
    </row>
    <row r="22" spans="1:10" s="38" customFormat="1" ht="15.75" customHeight="1" x14ac:dyDescent="0.25">
      <c r="A22" s="44" t="s">
        <v>20</v>
      </c>
      <c r="B22" s="45" t="s">
        <v>204</v>
      </c>
      <c r="C22" s="75"/>
      <c r="D22" s="122"/>
      <c r="E22" s="122"/>
      <c r="F22" s="122"/>
      <c r="G22" s="122"/>
      <c r="H22" s="122"/>
      <c r="I22" s="122"/>
      <c r="J22" s="156"/>
    </row>
    <row r="23" spans="1:10" s="38" customFormat="1" x14ac:dyDescent="0.25">
      <c r="A23" s="44" t="s">
        <v>21</v>
      </c>
      <c r="B23" s="45" t="s">
        <v>138</v>
      </c>
      <c r="C23" s="48"/>
      <c r="D23" s="123"/>
      <c r="E23" s="123"/>
      <c r="F23" s="123"/>
      <c r="G23" s="123"/>
      <c r="H23" s="123"/>
      <c r="I23" s="123"/>
      <c r="J23" s="158"/>
    </row>
    <row r="24" spans="1:10" s="38" customFormat="1" ht="15.75" customHeight="1" x14ac:dyDescent="0.25">
      <c r="A24" s="44" t="s">
        <v>22</v>
      </c>
      <c r="B24" s="46" t="s">
        <v>139</v>
      </c>
      <c r="C24" s="48"/>
      <c r="D24" s="123"/>
      <c r="E24" s="123"/>
      <c r="F24" s="123"/>
      <c r="G24" s="123"/>
      <c r="H24" s="123"/>
      <c r="I24" s="123"/>
      <c r="J24" s="158"/>
    </row>
    <row r="25" spans="1:10" s="39" customFormat="1" ht="15.75" customHeight="1" x14ac:dyDescent="0.25">
      <c r="A25" s="368" t="s">
        <v>152</v>
      </c>
      <c r="B25" s="369"/>
      <c r="C25" s="369"/>
      <c r="D25" s="86">
        <f t="shared" ref="D25:J25" si="1">SUM(D18:D24)</f>
        <v>3813.12</v>
      </c>
      <c r="E25" s="86">
        <f t="shared" si="1"/>
        <v>3813.12</v>
      </c>
      <c r="F25" s="86">
        <f t="shared" si="1"/>
        <v>4337.5600000000004</v>
      </c>
      <c r="G25" s="86">
        <f t="shared" si="1"/>
        <v>4337.5600000000004</v>
      </c>
      <c r="H25" s="86">
        <f t="shared" si="1"/>
        <v>3813.12</v>
      </c>
      <c r="I25" s="86">
        <f t="shared" si="1"/>
        <v>3813.12</v>
      </c>
      <c r="J25" s="159">
        <f t="shared" si="1"/>
        <v>4337.5600000000004</v>
      </c>
    </row>
    <row r="26" spans="1:10" s="39" customFormat="1" x14ac:dyDescent="0.25">
      <c r="A26" s="370" t="s">
        <v>51</v>
      </c>
      <c r="B26" s="371"/>
      <c r="C26" s="226"/>
      <c r="D26" s="226"/>
      <c r="E26" s="226"/>
      <c r="F26" s="226"/>
      <c r="G26" s="226"/>
      <c r="H26" s="226"/>
      <c r="I26" s="226"/>
      <c r="J26" s="227"/>
    </row>
    <row r="27" spans="1:10" s="38" customFormat="1" x14ac:dyDescent="0.25">
      <c r="A27" s="251">
        <v>2</v>
      </c>
      <c r="B27" s="376" t="s">
        <v>205</v>
      </c>
      <c r="C27" s="378"/>
      <c r="D27" s="68" t="s">
        <v>10</v>
      </c>
      <c r="E27" s="68" t="s">
        <v>10</v>
      </c>
      <c r="F27" s="68" t="s">
        <v>10</v>
      </c>
      <c r="G27" s="68" t="s">
        <v>10</v>
      </c>
      <c r="H27" s="68" t="s">
        <v>10</v>
      </c>
      <c r="I27" s="68" t="s">
        <v>10</v>
      </c>
      <c r="J27" s="152" t="s">
        <v>10</v>
      </c>
    </row>
    <row r="28" spans="1:10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66">
        <f>(D25)*C28</f>
        <v>317.63</v>
      </c>
      <c r="E28" s="66">
        <f>(E25)*C28</f>
        <v>317.63</v>
      </c>
      <c r="F28" s="66">
        <f>(F25)*C28</f>
        <v>361.32</v>
      </c>
      <c r="G28" s="66">
        <f>(G25)*C28</f>
        <v>361.32</v>
      </c>
      <c r="H28" s="66">
        <f>(H25)*C28</f>
        <v>317.63</v>
      </c>
      <c r="I28" s="66">
        <f>(I25)*C28</f>
        <v>317.63</v>
      </c>
      <c r="J28" s="160">
        <f>(J25)*C28</f>
        <v>361.32</v>
      </c>
    </row>
    <row r="29" spans="1:10" s="38" customFormat="1" x14ac:dyDescent="0.25">
      <c r="A29" s="49" t="s">
        <v>2</v>
      </c>
      <c r="B29" s="50" t="s">
        <v>148</v>
      </c>
      <c r="C29" s="55">
        <v>0.1111</v>
      </c>
      <c r="D29" s="66">
        <f>D25*C29</f>
        <v>423.64</v>
      </c>
      <c r="E29" s="66">
        <f>E25*C29</f>
        <v>423.64</v>
      </c>
      <c r="F29" s="66">
        <f>F25*C29</f>
        <v>481.9</v>
      </c>
      <c r="G29" s="66">
        <f>G25*C29</f>
        <v>481.9</v>
      </c>
      <c r="H29" s="66">
        <f>H25*C29</f>
        <v>423.64</v>
      </c>
      <c r="I29" s="66">
        <f>I25*C29</f>
        <v>423.64</v>
      </c>
      <c r="J29" s="160">
        <f>J25*C29</f>
        <v>481.9</v>
      </c>
    </row>
    <row r="30" spans="1:10" x14ac:dyDescent="0.25">
      <c r="A30" s="366" t="s">
        <v>27</v>
      </c>
      <c r="B30" s="367"/>
      <c r="C30" s="91">
        <f t="shared" ref="C30" si="2">SUM(C28:C29)</f>
        <v>0.19439999999999999</v>
      </c>
      <c r="D30" s="78">
        <f t="shared" ref="D30:J30" si="3">SUM(D28:D29)</f>
        <v>741.27</v>
      </c>
      <c r="E30" s="78">
        <f t="shared" si="3"/>
        <v>741.27</v>
      </c>
      <c r="F30" s="78">
        <f t="shared" si="3"/>
        <v>843.22</v>
      </c>
      <c r="G30" s="78">
        <f t="shared" si="3"/>
        <v>843.22</v>
      </c>
      <c r="H30" s="78">
        <f t="shared" si="3"/>
        <v>741.27</v>
      </c>
      <c r="I30" s="78">
        <f t="shared" si="3"/>
        <v>741.27</v>
      </c>
      <c r="J30" s="161">
        <f t="shared" si="3"/>
        <v>843.22</v>
      </c>
    </row>
    <row r="31" spans="1:10" ht="32.25" customHeight="1" x14ac:dyDescent="0.25">
      <c r="A31" s="411" t="s">
        <v>206</v>
      </c>
      <c r="B31" s="412"/>
      <c r="C31" s="412"/>
      <c r="D31" s="412"/>
      <c r="E31" s="412"/>
      <c r="F31" s="412"/>
      <c r="G31" s="412"/>
      <c r="H31" s="412"/>
      <c r="I31" s="412"/>
      <c r="J31" s="413"/>
    </row>
    <row r="32" spans="1:10" x14ac:dyDescent="0.25">
      <c r="A32" s="246" t="s">
        <v>215</v>
      </c>
      <c r="B32" s="379" t="s">
        <v>25</v>
      </c>
      <c r="C32" s="379"/>
      <c r="D32" s="259"/>
      <c r="E32" s="259"/>
      <c r="F32" s="259"/>
      <c r="G32" s="259"/>
      <c r="H32" s="259"/>
      <c r="I32" s="259"/>
      <c r="J32" s="162"/>
    </row>
    <row r="33" spans="1:10" x14ac:dyDescent="0.25">
      <c r="A33" s="49" t="s">
        <v>0</v>
      </c>
      <c r="B33" s="80" t="s">
        <v>207</v>
      </c>
      <c r="C33" s="55">
        <v>0.2</v>
      </c>
      <c r="D33" s="66">
        <f>(D25+D$30)*C33</f>
        <v>910.88</v>
      </c>
      <c r="E33" s="66">
        <f t="shared" ref="E33:E40" si="4">($E$25+E$30)*C33</f>
        <v>910.88</v>
      </c>
      <c r="F33" s="66">
        <f t="shared" ref="F33:F40" si="5">($F$25+F$30)*C33</f>
        <v>1036.1600000000001</v>
      </c>
      <c r="G33" s="66">
        <f t="shared" ref="G33:G40" si="6">($G$25+G$30)*C33</f>
        <v>1036.1600000000001</v>
      </c>
      <c r="H33" s="66">
        <f t="shared" ref="H33:H40" si="7">($H$25+H$30)*C33</f>
        <v>910.88</v>
      </c>
      <c r="I33" s="66">
        <f t="shared" ref="I33:I40" si="8">($I$25+I$30)*C33</f>
        <v>910.88</v>
      </c>
      <c r="J33" s="160">
        <f t="shared" ref="J33:J40" si="9">($J$25+J$30)*C33</f>
        <v>1036.1600000000001</v>
      </c>
    </row>
    <row r="34" spans="1:10" x14ac:dyDescent="0.25">
      <c r="A34" s="49" t="s">
        <v>2</v>
      </c>
      <c r="B34" s="80" t="s">
        <v>208</v>
      </c>
      <c r="C34" s="81">
        <v>1.4999999999999999E-2</v>
      </c>
      <c r="D34" s="66">
        <f t="shared" ref="D34:D40" si="10">($D$25+D$30)*C34</f>
        <v>68.319999999999993</v>
      </c>
      <c r="E34" s="66">
        <f t="shared" si="4"/>
        <v>68.319999999999993</v>
      </c>
      <c r="F34" s="66">
        <f t="shared" si="5"/>
        <v>77.709999999999994</v>
      </c>
      <c r="G34" s="66">
        <f t="shared" si="6"/>
        <v>77.709999999999994</v>
      </c>
      <c r="H34" s="66">
        <f t="shared" si="7"/>
        <v>68.319999999999993</v>
      </c>
      <c r="I34" s="66">
        <f t="shared" si="8"/>
        <v>68.319999999999993</v>
      </c>
      <c r="J34" s="160">
        <f t="shared" si="9"/>
        <v>77.709999999999994</v>
      </c>
    </row>
    <row r="35" spans="1:10" x14ac:dyDescent="0.25">
      <c r="A35" s="49" t="s">
        <v>3</v>
      </c>
      <c r="B35" s="80" t="s">
        <v>209</v>
      </c>
      <c r="C35" s="81">
        <v>0.01</v>
      </c>
      <c r="D35" s="66">
        <f t="shared" si="10"/>
        <v>45.54</v>
      </c>
      <c r="E35" s="66">
        <f t="shared" si="4"/>
        <v>45.54</v>
      </c>
      <c r="F35" s="66">
        <f t="shared" si="5"/>
        <v>51.81</v>
      </c>
      <c r="G35" s="66">
        <f t="shared" si="6"/>
        <v>51.81</v>
      </c>
      <c r="H35" s="66">
        <f t="shared" si="7"/>
        <v>45.54</v>
      </c>
      <c r="I35" s="66">
        <f t="shared" si="8"/>
        <v>45.54</v>
      </c>
      <c r="J35" s="160">
        <f t="shared" si="9"/>
        <v>51.81</v>
      </c>
    </row>
    <row r="36" spans="1:10" ht="31.5" x14ac:dyDescent="0.25">
      <c r="A36" s="49" t="s">
        <v>5</v>
      </c>
      <c r="B36" s="249" t="s">
        <v>210</v>
      </c>
      <c r="C36" s="81">
        <v>2E-3</v>
      </c>
      <c r="D36" s="66">
        <f t="shared" si="10"/>
        <v>9.11</v>
      </c>
      <c r="E36" s="66">
        <f t="shared" si="4"/>
        <v>9.11</v>
      </c>
      <c r="F36" s="66">
        <f t="shared" si="5"/>
        <v>10.36</v>
      </c>
      <c r="G36" s="66">
        <f t="shared" si="6"/>
        <v>10.36</v>
      </c>
      <c r="H36" s="66">
        <f t="shared" si="7"/>
        <v>9.11</v>
      </c>
      <c r="I36" s="66">
        <f t="shared" si="8"/>
        <v>9.11</v>
      </c>
      <c r="J36" s="160">
        <f t="shared" si="9"/>
        <v>10.36</v>
      </c>
    </row>
    <row r="37" spans="1:10" x14ac:dyDescent="0.25">
      <c r="A37" s="49" t="s">
        <v>20</v>
      </c>
      <c r="B37" s="80" t="s">
        <v>211</v>
      </c>
      <c r="C37" s="81">
        <v>2.5000000000000001E-2</v>
      </c>
      <c r="D37" s="66">
        <f t="shared" si="10"/>
        <v>113.86</v>
      </c>
      <c r="E37" s="66">
        <f t="shared" si="4"/>
        <v>113.86</v>
      </c>
      <c r="F37" s="66">
        <f t="shared" si="5"/>
        <v>129.52000000000001</v>
      </c>
      <c r="G37" s="66">
        <f t="shared" si="6"/>
        <v>129.52000000000001</v>
      </c>
      <c r="H37" s="66">
        <f t="shared" si="7"/>
        <v>113.86</v>
      </c>
      <c r="I37" s="66">
        <f t="shared" si="8"/>
        <v>113.86</v>
      </c>
      <c r="J37" s="160">
        <f t="shared" si="9"/>
        <v>129.52000000000001</v>
      </c>
    </row>
    <row r="38" spans="1:10" x14ac:dyDescent="0.25">
      <c r="A38" s="49" t="s">
        <v>21</v>
      </c>
      <c r="B38" s="107" t="s">
        <v>212</v>
      </c>
      <c r="C38" s="81">
        <v>0.08</v>
      </c>
      <c r="D38" s="66">
        <f t="shared" si="10"/>
        <v>364.35</v>
      </c>
      <c r="E38" s="66">
        <f t="shared" si="4"/>
        <v>364.35</v>
      </c>
      <c r="F38" s="66">
        <f t="shared" si="5"/>
        <v>414.46</v>
      </c>
      <c r="G38" s="66">
        <f t="shared" si="6"/>
        <v>414.46</v>
      </c>
      <c r="H38" s="66">
        <f t="shared" si="7"/>
        <v>364.35</v>
      </c>
      <c r="I38" s="66">
        <f t="shared" si="8"/>
        <v>364.35</v>
      </c>
      <c r="J38" s="160">
        <f t="shared" si="9"/>
        <v>414.46</v>
      </c>
    </row>
    <row r="39" spans="1:10" ht="30.75" customHeight="1" x14ac:dyDescent="0.25">
      <c r="A39" s="49" t="s">
        <v>22</v>
      </c>
      <c r="B39" s="249" t="s">
        <v>213</v>
      </c>
      <c r="C39" s="81">
        <v>0.03</v>
      </c>
      <c r="D39" s="66">
        <f t="shared" si="10"/>
        <v>136.63</v>
      </c>
      <c r="E39" s="66">
        <f t="shared" si="4"/>
        <v>136.63</v>
      </c>
      <c r="F39" s="66">
        <f t="shared" si="5"/>
        <v>155.41999999999999</v>
      </c>
      <c r="G39" s="66">
        <f t="shared" si="6"/>
        <v>155.41999999999999</v>
      </c>
      <c r="H39" s="66">
        <f t="shared" si="7"/>
        <v>136.63</v>
      </c>
      <c r="I39" s="66">
        <f t="shared" si="8"/>
        <v>136.63</v>
      </c>
      <c r="J39" s="160">
        <f t="shared" si="9"/>
        <v>155.41999999999999</v>
      </c>
    </row>
    <row r="40" spans="1:10" x14ac:dyDescent="0.25">
      <c r="A40" s="49" t="s">
        <v>26</v>
      </c>
      <c r="B40" s="106" t="s">
        <v>214</v>
      </c>
      <c r="C40" s="81">
        <v>6.0000000000000001E-3</v>
      </c>
      <c r="D40" s="66">
        <f t="shared" si="10"/>
        <v>27.33</v>
      </c>
      <c r="E40" s="66">
        <f t="shared" si="4"/>
        <v>27.33</v>
      </c>
      <c r="F40" s="66">
        <f t="shared" si="5"/>
        <v>31.08</v>
      </c>
      <c r="G40" s="66">
        <f t="shared" si="6"/>
        <v>31.08</v>
      </c>
      <c r="H40" s="66">
        <f t="shared" si="7"/>
        <v>27.33</v>
      </c>
      <c r="I40" s="66">
        <f t="shared" si="8"/>
        <v>27.33</v>
      </c>
      <c r="J40" s="160">
        <f t="shared" si="9"/>
        <v>31.08</v>
      </c>
    </row>
    <row r="41" spans="1:10" s="30" customFormat="1" x14ac:dyDescent="0.25">
      <c r="A41" s="366" t="s">
        <v>27</v>
      </c>
      <c r="B41" s="367"/>
      <c r="C41" s="56">
        <f t="shared" ref="C41" si="11">SUM(C33:C40)</f>
        <v>0.36799999999999999</v>
      </c>
      <c r="D41" s="82">
        <f t="shared" ref="D41:J41" si="12">SUM(D33:D40)</f>
        <v>1676.02</v>
      </c>
      <c r="E41" s="82">
        <f t="shared" si="12"/>
        <v>1676.02</v>
      </c>
      <c r="F41" s="82">
        <f t="shared" si="12"/>
        <v>1906.52</v>
      </c>
      <c r="G41" s="82">
        <f t="shared" si="12"/>
        <v>1906.52</v>
      </c>
      <c r="H41" s="82">
        <f t="shared" si="12"/>
        <v>1676.02</v>
      </c>
      <c r="I41" s="82">
        <f t="shared" si="12"/>
        <v>1676.02</v>
      </c>
      <c r="J41" s="163">
        <f t="shared" si="12"/>
        <v>1906.52</v>
      </c>
    </row>
    <row r="42" spans="1:10" s="30" customFormat="1" x14ac:dyDescent="0.25">
      <c r="A42" s="73" t="s">
        <v>216</v>
      </c>
      <c r="B42" s="372" t="s">
        <v>217</v>
      </c>
      <c r="C42" s="373"/>
      <c r="D42" s="260"/>
      <c r="E42" s="260"/>
      <c r="F42" s="260"/>
      <c r="G42" s="104"/>
      <c r="H42" s="260"/>
      <c r="I42" s="260"/>
      <c r="J42" s="236"/>
    </row>
    <row r="43" spans="1:10" s="30" customFormat="1" x14ac:dyDescent="0.25">
      <c r="A43" s="90" t="s">
        <v>0</v>
      </c>
      <c r="B43" s="53" t="s">
        <v>144</v>
      </c>
      <c r="C43" s="105">
        <v>4.5</v>
      </c>
      <c r="D43" s="76">
        <v>0</v>
      </c>
      <c r="E43" s="282">
        <v>129.66999999999999</v>
      </c>
      <c r="F43" s="76">
        <v>0</v>
      </c>
      <c r="G43" s="282">
        <v>129.66999999999999</v>
      </c>
      <c r="H43" s="76">
        <v>0</v>
      </c>
      <c r="I43" s="76">
        <v>0</v>
      </c>
      <c r="J43" s="76">
        <v>0</v>
      </c>
    </row>
    <row r="44" spans="1:10" s="30" customFormat="1" x14ac:dyDescent="0.25">
      <c r="A44" s="47" t="s">
        <v>2</v>
      </c>
      <c r="B44" s="46" t="s">
        <v>218</v>
      </c>
      <c r="C44" s="72">
        <v>581.85</v>
      </c>
      <c r="D44" s="74">
        <f>C44-(C44*0.99%)</f>
        <v>576.09</v>
      </c>
      <c r="E44" s="74">
        <f>C44-(C44*0.99%)</f>
        <v>576.09</v>
      </c>
      <c r="F44" s="74">
        <f>C44-(C44*0.99%)</f>
        <v>576.09</v>
      </c>
      <c r="G44" s="74">
        <f>C44-(C44*0.99%)</f>
        <v>576.09</v>
      </c>
      <c r="H44" s="74">
        <f>C44-(C44*0.99%)</f>
        <v>576.09</v>
      </c>
      <c r="I44" s="74">
        <f>C44-(C44*0.99%)</f>
        <v>576.09</v>
      </c>
      <c r="J44" s="59">
        <f>C44-(C44*0.99%)</f>
        <v>576.09</v>
      </c>
    </row>
    <row r="45" spans="1:10" s="30" customFormat="1" x14ac:dyDescent="0.25">
      <c r="A45" s="49" t="s">
        <v>5</v>
      </c>
      <c r="B45" s="50" t="s">
        <v>134</v>
      </c>
      <c r="C45" s="83"/>
      <c r="D45" s="84"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165">
        <v>0</v>
      </c>
    </row>
    <row r="46" spans="1:10" s="30" customFormat="1" x14ac:dyDescent="0.25">
      <c r="A46" s="49" t="s">
        <v>20</v>
      </c>
      <c r="B46" s="50" t="s">
        <v>135</v>
      </c>
      <c r="C46" s="55">
        <v>0.5</v>
      </c>
      <c r="D46" s="84">
        <f>D18*C46*0.0199*2/12</f>
        <v>5.39</v>
      </c>
      <c r="E46" s="84">
        <f>E18*C46*0.0199*2/12</f>
        <v>5.39</v>
      </c>
      <c r="F46" s="84">
        <f>F18*C46*0.0199*2/12</f>
        <v>6.26</v>
      </c>
      <c r="G46" s="84">
        <f>G18*C46*0.0199*2/12</f>
        <v>6.26</v>
      </c>
      <c r="H46" s="84">
        <f>H18*C46*0.0199*2/12</f>
        <v>5.39</v>
      </c>
      <c r="I46" s="84">
        <f>I18*C46*0.0199*2/12</f>
        <v>5.39</v>
      </c>
      <c r="J46" s="165">
        <f>J18*C46*0.0199*2/12</f>
        <v>6.26</v>
      </c>
    </row>
    <row r="47" spans="1:10" s="30" customFormat="1" x14ac:dyDescent="0.25">
      <c r="A47" s="49" t="s">
        <v>21</v>
      </c>
      <c r="B47" s="50" t="s">
        <v>136</v>
      </c>
      <c r="C47" s="66"/>
      <c r="D47" s="77">
        <v>45.8</v>
      </c>
      <c r="E47" s="77">
        <v>45.8</v>
      </c>
      <c r="F47" s="77">
        <v>45.8</v>
      </c>
      <c r="G47" s="77">
        <v>45.8</v>
      </c>
      <c r="H47" s="77">
        <v>45.8</v>
      </c>
      <c r="I47" s="77">
        <v>45.8</v>
      </c>
      <c r="J47" s="77">
        <v>45.8</v>
      </c>
    </row>
    <row r="48" spans="1:10" s="30" customFormat="1" ht="15.75" customHeight="1" x14ac:dyDescent="0.25">
      <c r="A48" s="366" t="s">
        <v>23</v>
      </c>
      <c r="B48" s="367"/>
      <c r="C48" s="367"/>
      <c r="D48" s="85">
        <f t="shared" ref="D48:J48" si="13">SUM(D43:D47)</f>
        <v>627.28</v>
      </c>
      <c r="E48" s="85">
        <f t="shared" si="13"/>
        <v>756.95</v>
      </c>
      <c r="F48" s="85">
        <f t="shared" si="13"/>
        <v>628.15</v>
      </c>
      <c r="G48" s="85">
        <f t="shared" si="13"/>
        <v>757.82</v>
      </c>
      <c r="H48" s="85">
        <f t="shared" si="13"/>
        <v>627.28</v>
      </c>
      <c r="I48" s="85">
        <f t="shared" si="13"/>
        <v>627.28</v>
      </c>
      <c r="J48" s="166">
        <f t="shared" si="13"/>
        <v>628.15</v>
      </c>
    </row>
    <row r="49" spans="1:10" s="30" customFormat="1" ht="15.75" customHeight="1" x14ac:dyDescent="0.25">
      <c r="A49" s="370" t="s">
        <v>151</v>
      </c>
      <c r="B49" s="371"/>
      <c r="C49" s="371"/>
      <c r="D49" s="226"/>
      <c r="E49" s="226"/>
      <c r="F49" s="226"/>
      <c r="G49" s="226"/>
      <c r="H49" s="226"/>
      <c r="I49" s="226"/>
      <c r="J49" s="227"/>
    </row>
    <row r="50" spans="1:10" s="30" customFormat="1" ht="15.75" customHeight="1" x14ac:dyDescent="0.25">
      <c r="A50" s="257" t="s">
        <v>141</v>
      </c>
      <c r="B50" s="96" t="s">
        <v>145</v>
      </c>
      <c r="C50" s="258"/>
      <c r="D50" s="57">
        <f t="shared" ref="D50:J50" si="14">D30</f>
        <v>741.27</v>
      </c>
      <c r="E50" s="57">
        <f t="shared" si="14"/>
        <v>741.27</v>
      </c>
      <c r="F50" s="57">
        <f t="shared" si="14"/>
        <v>843.22</v>
      </c>
      <c r="G50" s="57">
        <f t="shared" si="14"/>
        <v>843.22</v>
      </c>
      <c r="H50" s="57">
        <f t="shared" si="14"/>
        <v>741.27</v>
      </c>
      <c r="I50" s="57">
        <f t="shared" si="14"/>
        <v>741.27</v>
      </c>
      <c r="J50" s="58">
        <f t="shared" si="14"/>
        <v>843.22</v>
      </c>
    </row>
    <row r="51" spans="1:10" s="30" customFormat="1" ht="15.75" customHeight="1" x14ac:dyDescent="0.25">
      <c r="A51" s="257" t="s">
        <v>215</v>
      </c>
      <c r="B51" s="96" t="s">
        <v>146</v>
      </c>
      <c r="C51" s="258"/>
      <c r="D51" s="57">
        <f t="shared" ref="D51:J51" si="15">D41</f>
        <v>1676.02</v>
      </c>
      <c r="E51" s="57">
        <f t="shared" si="15"/>
        <v>1676.02</v>
      </c>
      <c r="F51" s="57">
        <f t="shared" si="15"/>
        <v>1906.52</v>
      </c>
      <c r="G51" s="57">
        <f t="shared" si="15"/>
        <v>1906.52</v>
      </c>
      <c r="H51" s="57">
        <f t="shared" si="15"/>
        <v>1676.02</v>
      </c>
      <c r="I51" s="57">
        <f t="shared" si="15"/>
        <v>1676.02</v>
      </c>
      <c r="J51" s="58">
        <f t="shared" si="15"/>
        <v>1906.52</v>
      </c>
    </row>
    <row r="52" spans="1:10" s="30" customFormat="1" ht="15.75" customHeight="1" x14ac:dyDescent="0.25">
      <c r="A52" s="257" t="s">
        <v>216</v>
      </c>
      <c r="B52" s="96" t="s">
        <v>147</v>
      </c>
      <c r="C52" s="258"/>
      <c r="D52" s="57">
        <f t="shared" ref="D52:J52" si="16">D48</f>
        <v>627.28</v>
      </c>
      <c r="E52" s="57">
        <f t="shared" si="16"/>
        <v>756.95</v>
      </c>
      <c r="F52" s="57">
        <f t="shared" si="16"/>
        <v>628.15</v>
      </c>
      <c r="G52" s="57">
        <f t="shared" si="16"/>
        <v>757.82</v>
      </c>
      <c r="H52" s="57">
        <f t="shared" si="16"/>
        <v>627.28</v>
      </c>
      <c r="I52" s="57">
        <f t="shared" si="16"/>
        <v>627.28</v>
      </c>
      <c r="J52" s="58">
        <f t="shared" si="16"/>
        <v>628.15</v>
      </c>
    </row>
    <row r="53" spans="1:10" s="30" customFormat="1" ht="15.75" customHeight="1" x14ac:dyDescent="0.25">
      <c r="A53" s="368" t="s">
        <v>153</v>
      </c>
      <c r="B53" s="369"/>
      <c r="C53" s="369"/>
      <c r="D53" s="86">
        <f t="shared" ref="D53:J53" si="17">SUM(D50:D52)</f>
        <v>3044.57</v>
      </c>
      <c r="E53" s="86">
        <f t="shared" si="17"/>
        <v>3174.24</v>
      </c>
      <c r="F53" s="86">
        <f t="shared" si="17"/>
        <v>3377.89</v>
      </c>
      <c r="G53" s="86">
        <f t="shared" si="17"/>
        <v>3507.56</v>
      </c>
      <c r="H53" s="86">
        <f t="shared" si="17"/>
        <v>3044.57</v>
      </c>
      <c r="I53" s="86">
        <f t="shared" si="17"/>
        <v>3044.57</v>
      </c>
      <c r="J53" s="159">
        <f t="shared" si="17"/>
        <v>3377.89</v>
      </c>
    </row>
    <row r="54" spans="1:10" s="30" customFormat="1" ht="15.75" customHeight="1" x14ac:dyDescent="0.25">
      <c r="A54" s="370" t="s">
        <v>162</v>
      </c>
      <c r="B54" s="371"/>
      <c r="C54" s="371"/>
      <c r="D54" s="226"/>
      <c r="E54" s="226"/>
      <c r="F54" s="226"/>
      <c r="G54" s="226"/>
      <c r="H54" s="226"/>
      <c r="I54" s="226"/>
      <c r="J54" s="227"/>
    </row>
    <row r="55" spans="1:10" s="30" customFormat="1" ht="15.75" customHeight="1" x14ac:dyDescent="0.25">
      <c r="A55" s="251" t="s">
        <v>200</v>
      </c>
      <c r="B55" s="376" t="s">
        <v>32</v>
      </c>
      <c r="C55" s="377"/>
      <c r="D55" s="68" t="s">
        <v>10</v>
      </c>
      <c r="E55" s="68" t="s">
        <v>10</v>
      </c>
      <c r="F55" s="68" t="s">
        <v>10</v>
      </c>
      <c r="G55" s="68" t="s">
        <v>10</v>
      </c>
      <c r="H55" s="68" t="s">
        <v>10</v>
      </c>
      <c r="I55" s="68" t="s">
        <v>10</v>
      </c>
      <c r="J55" s="152" t="s">
        <v>10</v>
      </c>
    </row>
    <row r="56" spans="1:10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66">
        <f>D$25*C56</f>
        <v>17.54</v>
      </c>
      <c r="E56" s="66">
        <f>E$25*C56</f>
        <v>17.54</v>
      </c>
      <c r="F56" s="66">
        <f>F$25*C56</f>
        <v>19.95</v>
      </c>
      <c r="G56" s="66">
        <f>G$25*C56</f>
        <v>19.95</v>
      </c>
      <c r="H56" s="66">
        <f>H$25*C56</f>
        <v>17.54</v>
      </c>
      <c r="I56" s="66">
        <f>I$25*C56</f>
        <v>17.54</v>
      </c>
      <c r="J56" s="160">
        <f>J$25*C56</f>
        <v>19.95</v>
      </c>
    </row>
    <row r="57" spans="1:10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66">
        <f>D$25*C57</f>
        <v>1.53</v>
      </c>
      <c r="E57" s="66">
        <f>E$25*C57</f>
        <v>1.53</v>
      </c>
      <c r="F57" s="66">
        <f>F$25*C57</f>
        <v>1.74</v>
      </c>
      <c r="G57" s="66">
        <f>G$25*C57</f>
        <v>1.74</v>
      </c>
      <c r="H57" s="66">
        <f>H$25*C57</f>
        <v>1.53</v>
      </c>
      <c r="I57" s="66">
        <f>I$25*C57</f>
        <v>1.53</v>
      </c>
      <c r="J57" s="160">
        <f>J$25*C57</f>
        <v>1.74</v>
      </c>
    </row>
    <row r="58" spans="1:10" s="30" customFormat="1" ht="15.75" customHeight="1" x14ac:dyDescent="0.25">
      <c r="A58" s="49" t="s">
        <v>3</v>
      </c>
      <c r="B58" s="50" t="s">
        <v>35</v>
      </c>
      <c r="C58" s="55">
        <v>1.9400000000000001E-2</v>
      </c>
      <c r="D58" s="66">
        <f>D$25*C58</f>
        <v>73.97</v>
      </c>
      <c r="E58" s="66">
        <f>E$25*C58</f>
        <v>73.97</v>
      </c>
      <c r="F58" s="66">
        <f>F$25*C58</f>
        <v>84.15</v>
      </c>
      <c r="G58" s="66">
        <f>G$25*C58</f>
        <v>84.15</v>
      </c>
      <c r="H58" s="66">
        <f>H$25*C58</f>
        <v>73.97</v>
      </c>
      <c r="I58" s="66">
        <f>I$25*C58</f>
        <v>73.97</v>
      </c>
      <c r="J58" s="160">
        <f>J$25*C58</f>
        <v>84.15</v>
      </c>
    </row>
    <row r="59" spans="1:10" s="30" customFormat="1" ht="15.75" customHeight="1" x14ac:dyDescent="0.25">
      <c r="A59" s="49" t="s">
        <v>5</v>
      </c>
      <c r="B59" s="97" t="s">
        <v>174</v>
      </c>
      <c r="C59" s="55">
        <v>7.1000000000000004E-3</v>
      </c>
      <c r="D59" s="66">
        <f>D$25*C59</f>
        <v>27.07</v>
      </c>
      <c r="E59" s="66">
        <f>E$25*C59</f>
        <v>27.07</v>
      </c>
      <c r="F59" s="66">
        <f>F$25*C59</f>
        <v>30.8</v>
      </c>
      <c r="G59" s="66">
        <f>G$25*C59</f>
        <v>30.8</v>
      </c>
      <c r="H59" s="66">
        <f>H$25*C59</f>
        <v>27.07</v>
      </c>
      <c r="I59" s="66">
        <f>I$25*C59</f>
        <v>27.07</v>
      </c>
      <c r="J59" s="160">
        <f>J$25*C59</f>
        <v>30.8</v>
      </c>
    </row>
    <row r="60" spans="1:10" s="30" customFormat="1" ht="32.25" customHeight="1" x14ac:dyDescent="0.25">
      <c r="A60" s="49" t="s">
        <v>20</v>
      </c>
      <c r="B60" s="50" t="s">
        <v>219</v>
      </c>
      <c r="C60" s="55">
        <v>0.04</v>
      </c>
      <c r="D60" s="66">
        <f>D$25*C60</f>
        <v>152.52000000000001</v>
      </c>
      <c r="E60" s="66">
        <f>E$25*C60</f>
        <v>152.52000000000001</v>
      </c>
      <c r="F60" s="66">
        <f>F$25*C60</f>
        <v>173.5</v>
      </c>
      <c r="G60" s="66">
        <f>G$25*C60</f>
        <v>173.5</v>
      </c>
      <c r="H60" s="66">
        <f>H$25*C60</f>
        <v>152.52000000000001</v>
      </c>
      <c r="I60" s="66">
        <f>I$25*C60</f>
        <v>152.52000000000001</v>
      </c>
      <c r="J60" s="160">
        <f>J$25*C60</f>
        <v>173.5</v>
      </c>
    </row>
    <row r="61" spans="1:10" s="30" customFormat="1" x14ac:dyDescent="0.25">
      <c r="A61" s="368" t="s">
        <v>154</v>
      </c>
      <c r="B61" s="369"/>
      <c r="C61" s="369"/>
      <c r="D61" s="86">
        <f t="shared" ref="D61:J61" si="18">SUM(D56:D60)</f>
        <v>272.63</v>
      </c>
      <c r="E61" s="86">
        <f t="shared" si="18"/>
        <v>272.63</v>
      </c>
      <c r="F61" s="86">
        <f t="shared" si="18"/>
        <v>310.14</v>
      </c>
      <c r="G61" s="86">
        <f t="shared" si="18"/>
        <v>310.14</v>
      </c>
      <c r="H61" s="86">
        <f t="shared" si="18"/>
        <v>272.63</v>
      </c>
      <c r="I61" s="86">
        <f t="shared" si="18"/>
        <v>272.63</v>
      </c>
      <c r="J61" s="159">
        <f t="shared" si="18"/>
        <v>310.14</v>
      </c>
    </row>
    <row r="62" spans="1:10" s="30" customFormat="1" x14ac:dyDescent="0.25">
      <c r="A62" s="370" t="s">
        <v>163</v>
      </c>
      <c r="B62" s="371"/>
      <c r="C62" s="371"/>
      <c r="D62" s="226"/>
      <c r="E62" s="226"/>
      <c r="F62" s="226"/>
      <c r="G62" s="226"/>
      <c r="H62" s="226"/>
      <c r="I62" s="226"/>
      <c r="J62" s="227"/>
    </row>
    <row r="63" spans="1:10" s="30" customFormat="1" x14ac:dyDescent="0.25">
      <c r="A63" s="251" t="s">
        <v>199</v>
      </c>
      <c r="B63" s="380" t="s">
        <v>36</v>
      </c>
      <c r="C63" s="380"/>
      <c r="D63" s="68" t="s">
        <v>10</v>
      </c>
      <c r="E63" s="68" t="s">
        <v>10</v>
      </c>
      <c r="F63" s="68" t="s">
        <v>10</v>
      </c>
      <c r="G63" s="68" t="s">
        <v>10</v>
      </c>
      <c r="H63" s="68" t="s">
        <v>10</v>
      </c>
      <c r="I63" s="68" t="s">
        <v>10</v>
      </c>
      <c r="J63" s="152" t="s">
        <v>10</v>
      </c>
    </row>
    <row r="64" spans="1:10" s="30" customFormat="1" x14ac:dyDescent="0.25">
      <c r="A64" s="49" t="s">
        <v>0</v>
      </c>
      <c r="B64" s="50" t="s">
        <v>192</v>
      </c>
      <c r="C64" s="55">
        <f>C29/12</f>
        <v>9.2999999999999992E-3</v>
      </c>
      <c r="D64" s="66">
        <f t="shared" ref="D64:D69" si="19">(D$25+D$53+D$61+D$84)*C64</f>
        <v>66.650000000000006</v>
      </c>
      <c r="E64" s="66">
        <f t="shared" ref="E64:E69" si="20">(E$25+E$53+E$61+E$84)*C64</f>
        <v>67.86</v>
      </c>
      <c r="F64" s="66">
        <f t="shared" ref="F64:F69" si="21">(F$25+F$53+F$61+F$84)*C64</f>
        <v>74.98</v>
      </c>
      <c r="G64" s="66">
        <f t="shared" ref="G64:G69" si="22">(G$25+G$53+G$61+G$84)*C64</f>
        <v>76.180000000000007</v>
      </c>
      <c r="H64" s="66">
        <f t="shared" ref="H64:H69" si="23">(H$25+H$53+H$61+H$84)*C64</f>
        <v>66.650000000000006</v>
      </c>
      <c r="I64" s="66">
        <f t="shared" ref="I64:I69" si="24">(I$25+I$53+I$61+I$84)*C64</f>
        <v>66.650000000000006</v>
      </c>
      <c r="J64" s="160">
        <f t="shared" ref="J64:J69" si="25">(J$25+J$53+J$61+J$84)*C64</f>
        <v>74.98</v>
      </c>
    </row>
    <row r="65" spans="1:10" s="30" customFormat="1" x14ac:dyDescent="0.25">
      <c r="A65" s="49" t="s">
        <v>2</v>
      </c>
      <c r="B65" s="50" t="s">
        <v>193</v>
      </c>
      <c r="C65" s="55">
        <v>1.66E-2</v>
      </c>
      <c r="D65" s="66">
        <f t="shared" si="19"/>
        <v>118.97</v>
      </c>
      <c r="E65" s="66">
        <f t="shared" si="20"/>
        <v>121.12</v>
      </c>
      <c r="F65" s="66">
        <f t="shared" si="21"/>
        <v>133.83000000000001</v>
      </c>
      <c r="G65" s="66">
        <f t="shared" si="22"/>
        <v>135.99</v>
      </c>
      <c r="H65" s="66">
        <f t="shared" si="23"/>
        <v>118.97</v>
      </c>
      <c r="I65" s="66">
        <f t="shared" si="24"/>
        <v>118.97</v>
      </c>
      <c r="J65" s="160">
        <f t="shared" si="25"/>
        <v>133.83000000000001</v>
      </c>
    </row>
    <row r="66" spans="1:10" s="30" customFormat="1" x14ac:dyDescent="0.25">
      <c r="A66" s="49" t="s">
        <v>3</v>
      </c>
      <c r="B66" s="50" t="s">
        <v>194</v>
      </c>
      <c r="C66" s="55">
        <v>2.0000000000000001E-4</v>
      </c>
      <c r="D66" s="66">
        <f t="shared" si="19"/>
        <v>1.43</v>
      </c>
      <c r="E66" s="66">
        <f t="shared" si="20"/>
        <v>1.46</v>
      </c>
      <c r="F66" s="66">
        <f t="shared" si="21"/>
        <v>1.61</v>
      </c>
      <c r="G66" s="66">
        <f t="shared" si="22"/>
        <v>1.64</v>
      </c>
      <c r="H66" s="66">
        <f t="shared" si="23"/>
        <v>1.43</v>
      </c>
      <c r="I66" s="66">
        <f t="shared" si="24"/>
        <v>1.43</v>
      </c>
      <c r="J66" s="160">
        <f t="shared" si="25"/>
        <v>1.61</v>
      </c>
    </row>
    <row r="67" spans="1:10" s="30" customFormat="1" x14ac:dyDescent="0.25">
      <c r="A67" s="49" t="s">
        <v>5</v>
      </c>
      <c r="B67" s="50" t="s">
        <v>195</v>
      </c>
      <c r="C67" s="55">
        <v>2.7000000000000001E-3</v>
      </c>
      <c r="D67" s="66">
        <f t="shared" si="19"/>
        <v>19.350000000000001</v>
      </c>
      <c r="E67" s="66">
        <f t="shared" si="20"/>
        <v>19.7</v>
      </c>
      <c r="F67" s="66">
        <f t="shared" si="21"/>
        <v>21.77</v>
      </c>
      <c r="G67" s="66">
        <f t="shared" si="22"/>
        <v>22.12</v>
      </c>
      <c r="H67" s="66">
        <f t="shared" si="23"/>
        <v>19.350000000000001</v>
      </c>
      <c r="I67" s="66">
        <f t="shared" si="24"/>
        <v>19.350000000000001</v>
      </c>
      <c r="J67" s="160">
        <f t="shared" si="25"/>
        <v>21.77</v>
      </c>
    </row>
    <row r="68" spans="1:10" s="30" customFormat="1" x14ac:dyDescent="0.25">
      <c r="A68" s="49" t="s">
        <v>20</v>
      </c>
      <c r="B68" s="50" t="s">
        <v>196</v>
      </c>
      <c r="C68" s="55">
        <v>2.9999999999999997E-4</v>
      </c>
      <c r="D68" s="66">
        <f t="shared" si="19"/>
        <v>2.15</v>
      </c>
      <c r="E68" s="66">
        <f t="shared" si="20"/>
        <v>2.19</v>
      </c>
      <c r="F68" s="66">
        <f t="shared" si="21"/>
        <v>2.42</v>
      </c>
      <c r="G68" s="66">
        <f t="shared" si="22"/>
        <v>2.46</v>
      </c>
      <c r="H68" s="66">
        <f t="shared" si="23"/>
        <v>2.15</v>
      </c>
      <c r="I68" s="66">
        <f t="shared" si="24"/>
        <v>2.15</v>
      </c>
      <c r="J68" s="160">
        <f t="shared" si="25"/>
        <v>2.42</v>
      </c>
    </row>
    <row r="69" spans="1:10" s="30" customFormat="1" ht="15.75" customHeight="1" x14ac:dyDescent="0.25">
      <c r="A69" s="49" t="s">
        <v>21</v>
      </c>
      <c r="B69" s="254" t="s">
        <v>197</v>
      </c>
      <c r="C69" s="55">
        <v>0</v>
      </c>
      <c r="D69" s="66">
        <f t="shared" si="19"/>
        <v>0</v>
      </c>
      <c r="E69" s="66">
        <f t="shared" si="20"/>
        <v>0</v>
      </c>
      <c r="F69" s="66">
        <f t="shared" si="21"/>
        <v>0</v>
      </c>
      <c r="G69" s="66">
        <f t="shared" si="22"/>
        <v>0</v>
      </c>
      <c r="H69" s="66">
        <f t="shared" si="23"/>
        <v>0</v>
      </c>
      <c r="I69" s="66">
        <f t="shared" si="24"/>
        <v>0</v>
      </c>
      <c r="J69" s="160">
        <f t="shared" si="25"/>
        <v>0</v>
      </c>
    </row>
    <row r="70" spans="1:10" s="30" customFormat="1" x14ac:dyDescent="0.25">
      <c r="A70" s="366" t="s">
        <v>29</v>
      </c>
      <c r="B70" s="367"/>
      <c r="C70" s="56">
        <f t="shared" ref="C70" si="26">SUM(C64:C69)</f>
        <v>2.9100000000000001E-2</v>
      </c>
      <c r="D70" s="82">
        <f t="shared" ref="D70:J70" si="27">SUM(D64:D69)</f>
        <v>208.55</v>
      </c>
      <c r="E70" s="82">
        <f t="shared" si="27"/>
        <v>212.33</v>
      </c>
      <c r="F70" s="82">
        <f t="shared" si="27"/>
        <v>234.61</v>
      </c>
      <c r="G70" s="82">
        <f t="shared" si="27"/>
        <v>238.39</v>
      </c>
      <c r="H70" s="82">
        <f t="shared" si="27"/>
        <v>208.55</v>
      </c>
      <c r="I70" s="82">
        <f t="shared" si="27"/>
        <v>208.55</v>
      </c>
      <c r="J70" s="163">
        <f t="shared" si="27"/>
        <v>234.61</v>
      </c>
    </row>
    <row r="71" spans="1:10" s="30" customFormat="1" x14ac:dyDescent="0.25">
      <c r="A71" s="257"/>
      <c r="B71" s="258"/>
      <c r="C71" s="71"/>
      <c r="D71" s="71"/>
      <c r="E71" s="54"/>
      <c r="F71" s="71"/>
      <c r="G71" s="54"/>
      <c r="H71" s="71"/>
      <c r="I71" s="71"/>
      <c r="J71" s="237"/>
    </row>
    <row r="72" spans="1:10" s="30" customFormat="1" x14ac:dyDescent="0.25">
      <c r="A72" s="257"/>
      <c r="B72" s="374" t="s">
        <v>201</v>
      </c>
      <c r="C72" s="375"/>
      <c r="D72" s="68" t="s">
        <v>10</v>
      </c>
      <c r="E72" s="68" t="s">
        <v>10</v>
      </c>
      <c r="F72" s="68" t="s">
        <v>10</v>
      </c>
      <c r="G72" s="68" t="s">
        <v>10</v>
      </c>
      <c r="H72" s="68" t="s">
        <v>10</v>
      </c>
      <c r="I72" s="68" t="s">
        <v>10</v>
      </c>
      <c r="J72" s="152" t="s">
        <v>10</v>
      </c>
    </row>
    <row r="73" spans="1:10" s="30" customFormat="1" x14ac:dyDescent="0.25">
      <c r="A73" s="47" t="s">
        <v>0</v>
      </c>
      <c r="B73" s="248" t="s">
        <v>202</v>
      </c>
      <c r="C73" s="92">
        <v>0</v>
      </c>
      <c r="D73" s="64">
        <f>$C$24*C73</f>
        <v>0</v>
      </c>
      <c r="E73" s="64">
        <f>$C$24*C73</f>
        <v>0</v>
      </c>
      <c r="F73" s="64">
        <f>$C$24*C73</f>
        <v>0</v>
      </c>
      <c r="G73" s="64">
        <f>$C$24*C73</f>
        <v>0</v>
      </c>
      <c r="H73" s="64">
        <f>$C$24*C73</f>
        <v>0</v>
      </c>
      <c r="I73" s="64">
        <f>$C$24*C73</f>
        <v>0</v>
      </c>
      <c r="J73" s="167">
        <f>$C$24*C73</f>
        <v>0</v>
      </c>
    </row>
    <row r="74" spans="1:10" s="30" customFormat="1" ht="15.75" customHeight="1" x14ac:dyDescent="0.25">
      <c r="A74" s="366" t="s">
        <v>27</v>
      </c>
      <c r="B74" s="367"/>
      <c r="C74" s="93">
        <v>0</v>
      </c>
      <c r="D74" s="79">
        <f t="shared" ref="D74:J74" si="28">D73</f>
        <v>0</v>
      </c>
      <c r="E74" s="79">
        <f t="shared" si="28"/>
        <v>0</v>
      </c>
      <c r="F74" s="79">
        <f t="shared" si="28"/>
        <v>0</v>
      </c>
      <c r="G74" s="79">
        <f t="shared" si="28"/>
        <v>0</v>
      </c>
      <c r="H74" s="79">
        <f t="shared" si="28"/>
        <v>0</v>
      </c>
      <c r="I74" s="79">
        <f t="shared" si="28"/>
        <v>0</v>
      </c>
      <c r="J74" s="63">
        <f t="shared" si="28"/>
        <v>0</v>
      </c>
    </row>
    <row r="75" spans="1:10" s="30" customFormat="1" ht="15.75" customHeight="1" x14ac:dyDescent="0.25">
      <c r="A75" s="370" t="s">
        <v>30</v>
      </c>
      <c r="B75" s="371"/>
      <c r="C75" s="371"/>
      <c r="D75" s="226"/>
      <c r="E75" s="226"/>
      <c r="F75" s="226"/>
      <c r="G75" s="226"/>
      <c r="H75" s="226"/>
      <c r="I75" s="226"/>
      <c r="J75" s="227"/>
    </row>
    <row r="76" spans="1:10" s="30" customFormat="1" ht="15.75" customHeight="1" x14ac:dyDescent="0.25">
      <c r="A76" s="230" t="s">
        <v>203</v>
      </c>
      <c r="B76" s="231"/>
      <c r="C76" s="231"/>
      <c r="D76" s="231"/>
      <c r="E76" s="231"/>
      <c r="F76" s="231"/>
      <c r="G76" s="231"/>
      <c r="H76" s="231"/>
      <c r="I76" s="231"/>
      <c r="J76" s="232"/>
    </row>
    <row r="77" spans="1:10" s="30" customFormat="1" ht="15.75" customHeight="1" x14ac:dyDescent="0.25">
      <c r="A77" s="251">
        <v>4</v>
      </c>
      <c r="B77" s="376" t="s">
        <v>220</v>
      </c>
      <c r="C77" s="377"/>
      <c r="D77" s="68" t="s">
        <v>10</v>
      </c>
      <c r="E77" s="68" t="s">
        <v>10</v>
      </c>
      <c r="F77" s="68" t="s">
        <v>10</v>
      </c>
      <c r="G77" s="68" t="s">
        <v>10</v>
      </c>
      <c r="H77" s="68" t="s">
        <v>10</v>
      </c>
      <c r="I77" s="68" t="s">
        <v>10</v>
      </c>
      <c r="J77" s="152" t="s">
        <v>10</v>
      </c>
    </row>
    <row r="78" spans="1:10" s="30" customFormat="1" ht="15.75" customHeight="1" x14ac:dyDescent="0.25">
      <c r="A78" s="49" t="s">
        <v>199</v>
      </c>
      <c r="B78" s="50" t="s">
        <v>198</v>
      </c>
      <c r="C78" s="55">
        <f t="shared" ref="C78" si="29">C70</f>
        <v>2.9100000000000001E-2</v>
      </c>
      <c r="D78" s="66">
        <f t="shared" ref="D78:J78" si="30">D70</f>
        <v>208.55</v>
      </c>
      <c r="E78" s="66">
        <f t="shared" si="30"/>
        <v>212.33</v>
      </c>
      <c r="F78" s="66">
        <f t="shared" si="30"/>
        <v>234.61</v>
      </c>
      <c r="G78" s="66">
        <f t="shared" si="30"/>
        <v>238.39</v>
      </c>
      <c r="H78" s="66">
        <f t="shared" si="30"/>
        <v>208.55</v>
      </c>
      <c r="I78" s="66">
        <f t="shared" si="30"/>
        <v>208.55</v>
      </c>
      <c r="J78" s="160">
        <f t="shared" si="30"/>
        <v>234.61</v>
      </c>
    </row>
    <row r="79" spans="1:10" s="30" customFormat="1" ht="15.75" customHeight="1" x14ac:dyDescent="0.25">
      <c r="A79" s="49" t="s">
        <v>221</v>
      </c>
      <c r="B79" s="50" t="s">
        <v>201</v>
      </c>
      <c r="C79" s="55">
        <v>0</v>
      </c>
      <c r="D79" s="66">
        <f>(D$25+D$53+D$61)*C79</f>
        <v>0</v>
      </c>
      <c r="E79" s="66">
        <f>(E$25+E$53+E$61)*C79</f>
        <v>0</v>
      </c>
      <c r="F79" s="66">
        <f>(F$25+F$53+F$61)*C79</f>
        <v>0</v>
      </c>
      <c r="G79" s="66">
        <f>(G$25+G$53+G$61)*C79</f>
        <v>0</v>
      </c>
      <c r="H79" s="66">
        <f>(H$25+H$53+H$61)*C79</f>
        <v>0</v>
      </c>
      <c r="I79" s="66">
        <f>(I$25+I$53+I$61)*D79</f>
        <v>0</v>
      </c>
      <c r="J79" s="160">
        <f>(J$25+J$53+J$61)*E79</f>
        <v>0</v>
      </c>
    </row>
    <row r="80" spans="1:10" s="30" customFormat="1" ht="15.75" customHeight="1" x14ac:dyDescent="0.25">
      <c r="A80" s="366" t="s">
        <v>27</v>
      </c>
      <c r="B80" s="367"/>
      <c r="C80" s="91">
        <f t="shared" ref="C80" si="31">SUM(C78:C79)</f>
        <v>2.9100000000000001E-2</v>
      </c>
      <c r="D80" s="78">
        <f t="shared" ref="D80:J80" si="32">SUM(D78:D79)</f>
        <v>208.55</v>
      </c>
      <c r="E80" s="78">
        <f t="shared" si="32"/>
        <v>212.33</v>
      </c>
      <c r="F80" s="78">
        <f t="shared" si="32"/>
        <v>234.61</v>
      </c>
      <c r="G80" s="78">
        <f t="shared" si="32"/>
        <v>238.39</v>
      </c>
      <c r="H80" s="78">
        <f t="shared" si="32"/>
        <v>208.55</v>
      </c>
      <c r="I80" s="78">
        <f t="shared" si="32"/>
        <v>208.55</v>
      </c>
      <c r="J80" s="161">
        <f t="shared" si="32"/>
        <v>234.61</v>
      </c>
    </row>
    <row r="81" spans="1:10" s="30" customFormat="1" ht="15.75" customHeight="1" x14ac:dyDescent="0.25">
      <c r="A81" s="368" t="s">
        <v>155</v>
      </c>
      <c r="B81" s="369"/>
      <c r="C81" s="369"/>
      <c r="D81" s="86">
        <f t="shared" ref="D81:J81" si="33">SUM(D74+D80)</f>
        <v>208.55</v>
      </c>
      <c r="E81" s="86">
        <f t="shared" si="33"/>
        <v>212.33</v>
      </c>
      <c r="F81" s="86">
        <f t="shared" si="33"/>
        <v>234.61</v>
      </c>
      <c r="G81" s="86">
        <f t="shared" si="33"/>
        <v>238.39</v>
      </c>
      <c r="H81" s="86">
        <f t="shared" si="33"/>
        <v>208.55</v>
      </c>
      <c r="I81" s="86">
        <f t="shared" si="33"/>
        <v>208.55</v>
      </c>
      <c r="J81" s="159">
        <f t="shared" si="33"/>
        <v>234.61</v>
      </c>
    </row>
    <row r="82" spans="1:10" s="30" customFormat="1" ht="15.75" customHeight="1" x14ac:dyDescent="0.25">
      <c r="A82" s="389" t="s">
        <v>164</v>
      </c>
      <c r="B82" s="379"/>
      <c r="C82" s="379"/>
      <c r="D82" s="228"/>
      <c r="E82" s="228"/>
      <c r="F82" s="228"/>
      <c r="G82" s="228"/>
      <c r="H82" s="228"/>
      <c r="I82" s="228"/>
      <c r="J82" s="229"/>
    </row>
    <row r="83" spans="1:10" s="30" customFormat="1" ht="15.75" customHeight="1" x14ac:dyDescent="0.25">
      <c r="A83" s="251">
        <v>5</v>
      </c>
      <c r="B83" s="376" t="s">
        <v>24</v>
      </c>
      <c r="C83" s="377"/>
      <c r="D83" s="68" t="s">
        <v>10</v>
      </c>
      <c r="E83" s="68" t="s">
        <v>10</v>
      </c>
      <c r="F83" s="68" t="s">
        <v>10</v>
      </c>
      <c r="G83" s="68" t="s">
        <v>10</v>
      </c>
      <c r="H83" s="68" t="s">
        <v>10</v>
      </c>
      <c r="I83" s="68" t="s">
        <v>10</v>
      </c>
      <c r="J83" s="152" t="s">
        <v>10</v>
      </c>
    </row>
    <row r="84" spans="1:10" s="30" customFormat="1" ht="15.75" customHeight="1" x14ac:dyDescent="0.25">
      <c r="A84" s="49" t="s">
        <v>0</v>
      </c>
      <c r="B84" s="390" t="s">
        <v>222</v>
      </c>
      <c r="C84" s="390"/>
      <c r="D84" s="77">
        <f>Uniformes!H7</f>
        <v>36.619999999999997</v>
      </c>
      <c r="E84" s="77">
        <f>Uniformes!H7</f>
        <v>36.619999999999997</v>
      </c>
      <c r="F84" s="77">
        <f>Uniformes!H7</f>
        <v>36.619999999999997</v>
      </c>
      <c r="G84" s="77">
        <f>Uniformes!H7</f>
        <v>36.619999999999997</v>
      </c>
      <c r="H84" s="77">
        <f>Uniformes!H7</f>
        <v>36.619999999999997</v>
      </c>
      <c r="I84" s="74">
        <f>Uniformes!H7</f>
        <v>36.619999999999997</v>
      </c>
      <c r="J84" s="59">
        <f>Uniformes!H7</f>
        <v>36.619999999999997</v>
      </c>
    </row>
    <row r="85" spans="1:10" s="30" customFormat="1" ht="15.75" customHeight="1" x14ac:dyDescent="0.25">
      <c r="A85" s="49" t="s">
        <v>2</v>
      </c>
      <c r="B85" s="390" t="s">
        <v>223</v>
      </c>
      <c r="C85" s="390"/>
      <c r="D85" s="77">
        <f>Materiais!H18</f>
        <v>64.819999999999993</v>
      </c>
      <c r="E85" s="77">
        <f>Materiais!H19</f>
        <v>64.819999999999993</v>
      </c>
      <c r="F85" s="77">
        <f>Materiais!H20</f>
        <v>44.57</v>
      </c>
      <c r="G85" s="77">
        <f>Materiais!H21</f>
        <v>44.57</v>
      </c>
      <c r="H85" s="77">
        <f>Materiais!H22</f>
        <v>129.65</v>
      </c>
      <c r="I85" s="74">
        <f>Materiais!H23</f>
        <v>64.819999999999993</v>
      </c>
      <c r="J85" s="59">
        <f>Materiais!H24</f>
        <v>44.57</v>
      </c>
    </row>
    <row r="86" spans="1:10" s="30" customFormat="1" ht="15.75" customHeight="1" x14ac:dyDescent="0.25">
      <c r="A86" s="49" t="s">
        <v>3</v>
      </c>
      <c r="B86" s="390" t="s">
        <v>187</v>
      </c>
      <c r="C86" s="390"/>
      <c r="D86" s="74">
        <f>Equipamentos!H18</f>
        <v>1312.5</v>
      </c>
      <c r="E86" s="74">
        <f>Equipamentos!H19</f>
        <v>1312.5</v>
      </c>
      <c r="F86" s="74">
        <f>Equipamentos!H20</f>
        <v>922.4</v>
      </c>
      <c r="G86" s="74">
        <f>Equipamentos!H21</f>
        <v>922.4</v>
      </c>
      <c r="H86" s="74">
        <f>Equipamentos!H22</f>
        <v>2625</v>
      </c>
      <c r="I86" s="74">
        <f>Equipamentos!H23</f>
        <v>1312.5</v>
      </c>
      <c r="J86" s="59">
        <f>Equipamentos!H24</f>
        <v>922.4</v>
      </c>
    </row>
    <row r="87" spans="1:10" s="30" customFormat="1" ht="15.75" customHeight="1" x14ac:dyDescent="0.25">
      <c r="A87" s="49" t="s">
        <v>5</v>
      </c>
      <c r="B87" s="390" t="s">
        <v>137</v>
      </c>
      <c r="C87" s="390"/>
      <c r="D87" s="77">
        <v>0</v>
      </c>
      <c r="E87" s="77">
        <v>0</v>
      </c>
      <c r="F87" s="77">
        <v>0</v>
      </c>
      <c r="G87" s="77">
        <v>0</v>
      </c>
      <c r="H87" s="77">
        <v>0</v>
      </c>
      <c r="I87" s="77">
        <v>0</v>
      </c>
      <c r="J87" s="62">
        <v>0</v>
      </c>
    </row>
    <row r="88" spans="1:10" s="30" customFormat="1" ht="15.75" customHeight="1" x14ac:dyDescent="0.25">
      <c r="A88" s="368" t="s">
        <v>156</v>
      </c>
      <c r="B88" s="369"/>
      <c r="C88" s="369"/>
      <c r="D88" s="65">
        <f t="shared" ref="D88:J88" si="34">SUM(D84:D87)</f>
        <v>1413.94</v>
      </c>
      <c r="E88" s="65">
        <f t="shared" si="34"/>
        <v>1413.94</v>
      </c>
      <c r="F88" s="65">
        <f t="shared" si="34"/>
        <v>1003.59</v>
      </c>
      <c r="G88" s="65">
        <f t="shared" si="34"/>
        <v>1003.59</v>
      </c>
      <c r="H88" s="65">
        <f t="shared" si="34"/>
        <v>2791.27</v>
      </c>
      <c r="I88" s="65">
        <f t="shared" si="34"/>
        <v>1413.94</v>
      </c>
      <c r="J88" s="61">
        <f t="shared" si="34"/>
        <v>1003.59</v>
      </c>
    </row>
    <row r="89" spans="1:10" s="30" customFormat="1" ht="30" customHeight="1" x14ac:dyDescent="0.25">
      <c r="A89" s="389" t="s">
        <v>37</v>
      </c>
      <c r="B89" s="379"/>
      <c r="C89" s="379"/>
      <c r="D89" s="69">
        <f t="shared" ref="D89:J89" si="35">D88+D81+D61+D53+D25</f>
        <v>8752.81</v>
      </c>
      <c r="E89" s="69">
        <f t="shared" si="35"/>
        <v>8886.26</v>
      </c>
      <c r="F89" s="69">
        <f t="shared" si="35"/>
        <v>9263.7900000000009</v>
      </c>
      <c r="G89" s="69">
        <f t="shared" si="35"/>
        <v>9397.24</v>
      </c>
      <c r="H89" s="69">
        <f t="shared" si="35"/>
        <v>10130.14</v>
      </c>
      <c r="I89" s="69">
        <f t="shared" si="35"/>
        <v>8752.81</v>
      </c>
      <c r="J89" s="151">
        <f t="shared" si="35"/>
        <v>9263.7900000000009</v>
      </c>
    </row>
    <row r="90" spans="1:10" s="30" customFormat="1" ht="19.5" customHeight="1" x14ac:dyDescent="0.25">
      <c r="A90" s="225" t="s">
        <v>165</v>
      </c>
      <c r="B90" s="371"/>
      <c r="C90" s="371"/>
      <c r="D90" s="226"/>
      <c r="E90" s="226"/>
      <c r="F90" s="226"/>
      <c r="G90" s="226"/>
      <c r="H90" s="226"/>
      <c r="I90" s="226"/>
      <c r="J90" s="227"/>
    </row>
    <row r="91" spans="1:10" s="30" customFormat="1" x14ac:dyDescent="0.25">
      <c r="A91" s="251">
        <v>6</v>
      </c>
      <c r="B91" s="376" t="s">
        <v>38</v>
      </c>
      <c r="C91" s="378"/>
      <c r="D91" s="68" t="s">
        <v>10</v>
      </c>
      <c r="E91" s="68" t="s">
        <v>10</v>
      </c>
      <c r="F91" s="68" t="s">
        <v>10</v>
      </c>
      <c r="G91" s="68" t="s">
        <v>10</v>
      </c>
      <c r="H91" s="68" t="s">
        <v>10</v>
      </c>
      <c r="I91" s="68" t="s">
        <v>10</v>
      </c>
      <c r="J91" s="152" t="s">
        <v>10</v>
      </c>
    </row>
    <row r="92" spans="1:10" s="30" customFormat="1" x14ac:dyDescent="0.25">
      <c r="A92" s="251" t="s">
        <v>0</v>
      </c>
      <c r="B92" s="50" t="s">
        <v>39</v>
      </c>
      <c r="C92" s="55">
        <v>0.03</v>
      </c>
      <c r="D92" s="66">
        <f>+D89*C92</f>
        <v>262.58</v>
      </c>
      <c r="E92" s="66">
        <f>+E89*C92</f>
        <v>266.58999999999997</v>
      </c>
      <c r="F92" s="66">
        <f>+F89*C92</f>
        <v>277.91000000000003</v>
      </c>
      <c r="G92" s="66">
        <f>+G89*C92</f>
        <v>281.92</v>
      </c>
      <c r="H92" s="66">
        <f>+H89*C92</f>
        <v>303.89999999999998</v>
      </c>
      <c r="I92" s="66">
        <f>+I89*C92</f>
        <v>262.58</v>
      </c>
      <c r="J92" s="160">
        <f>+J89*C92</f>
        <v>277.91000000000003</v>
      </c>
    </row>
    <row r="93" spans="1:10" s="30" customFormat="1" x14ac:dyDescent="0.25">
      <c r="A93" s="251" t="s">
        <v>2</v>
      </c>
      <c r="B93" s="50" t="s">
        <v>40</v>
      </c>
      <c r="C93" s="55">
        <v>6.7900000000000002E-2</v>
      </c>
      <c r="D93" s="77">
        <f>(D89+D92)*C93</f>
        <v>612.14</v>
      </c>
      <c r="E93" s="77">
        <f>(E89+E92)*C93</f>
        <v>621.48</v>
      </c>
      <c r="F93" s="77">
        <f>(F89+F92)*C93</f>
        <v>647.88</v>
      </c>
      <c r="G93" s="77">
        <f>(G89+G92)*C93</f>
        <v>657.21</v>
      </c>
      <c r="H93" s="77">
        <f>(H89+H92)*C93</f>
        <v>708.47</v>
      </c>
      <c r="I93" s="77">
        <f>(I89+I92)*C93</f>
        <v>612.14</v>
      </c>
      <c r="J93" s="62">
        <f>(J89+J92)*C93</f>
        <v>647.88</v>
      </c>
    </row>
    <row r="94" spans="1:10" s="30" customFormat="1" ht="31.5" x14ac:dyDescent="0.25">
      <c r="A94" s="384" t="s">
        <v>3</v>
      </c>
      <c r="B94" s="50" t="s">
        <v>50</v>
      </c>
      <c r="C94" s="55">
        <f>1-C102</f>
        <v>0.85750000000000004</v>
      </c>
      <c r="D94" s="66">
        <f t="shared" ref="D94:J94" si="36">D89+D92+D93</f>
        <v>9627.5300000000007</v>
      </c>
      <c r="E94" s="66">
        <f t="shared" si="36"/>
        <v>9774.33</v>
      </c>
      <c r="F94" s="66">
        <f t="shared" si="36"/>
        <v>10189.58</v>
      </c>
      <c r="G94" s="66">
        <f t="shared" si="36"/>
        <v>10336.370000000001</v>
      </c>
      <c r="H94" s="66">
        <f t="shared" si="36"/>
        <v>11142.51</v>
      </c>
      <c r="I94" s="66">
        <f t="shared" si="36"/>
        <v>9627.5300000000007</v>
      </c>
      <c r="J94" s="160">
        <f t="shared" si="36"/>
        <v>10189.58</v>
      </c>
    </row>
    <row r="95" spans="1:10" s="30" customFormat="1" x14ac:dyDescent="0.25">
      <c r="A95" s="384"/>
      <c r="B95" s="254" t="s">
        <v>41</v>
      </c>
      <c r="C95" s="88"/>
      <c r="D95" s="77">
        <f>D94/C94</f>
        <v>11227.44</v>
      </c>
      <c r="E95" s="77">
        <f>E94/C94</f>
        <v>11398.64</v>
      </c>
      <c r="F95" s="77">
        <f>F94/C94</f>
        <v>11882.89</v>
      </c>
      <c r="G95" s="77">
        <f>G94/C94</f>
        <v>12054.08</v>
      </c>
      <c r="H95" s="77">
        <f>H94/C94</f>
        <v>12994.18</v>
      </c>
      <c r="I95" s="77">
        <f>I94/C94</f>
        <v>11227.44</v>
      </c>
      <c r="J95" s="62">
        <f>J94/C94</f>
        <v>11882.89</v>
      </c>
    </row>
    <row r="96" spans="1:10" s="30" customFormat="1" x14ac:dyDescent="0.25">
      <c r="A96" s="384"/>
      <c r="B96" s="254" t="s">
        <v>42</v>
      </c>
      <c r="C96" s="67"/>
      <c r="D96" s="87"/>
      <c r="E96" s="87"/>
      <c r="F96" s="87"/>
      <c r="G96" s="87"/>
      <c r="H96" s="87"/>
      <c r="I96" s="87"/>
      <c r="J96" s="168"/>
    </row>
    <row r="97" spans="1:10" s="30" customFormat="1" x14ac:dyDescent="0.25">
      <c r="A97" s="384"/>
      <c r="B97" s="50" t="s">
        <v>130</v>
      </c>
      <c r="C97" s="55">
        <v>1.6500000000000001E-2</v>
      </c>
      <c r="D97" s="66">
        <f>D95*C97</f>
        <v>185.25</v>
      </c>
      <c r="E97" s="66">
        <f>E95*C97</f>
        <v>188.08</v>
      </c>
      <c r="F97" s="66">
        <f>F95*C97</f>
        <v>196.07</v>
      </c>
      <c r="G97" s="66">
        <f>G95*C97</f>
        <v>198.89</v>
      </c>
      <c r="H97" s="66">
        <f>H95*C97</f>
        <v>214.4</v>
      </c>
      <c r="I97" s="66">
        <f>I95*C97</f>
        <v>185.25</v>
      </c>
      <c r="J97" s="160">
        <f>J95*C97</f>
        <v>196.07</v>
      </c>
    </row>
    <row r="98" spans="1:10" s="30" customFormat="1" x14ac:dyDescent="0.25">
      <c r="A98" s="384"/>
      <c r="B98" s="50" t="s">
        <v>131</v>
      </c>
      <c r="C98" s="55">
        <v>7.5999999999999998E-2</v>
      </c>
      <c r="D98" s="66">
        <f>D95*C98</f>
        <v>853.29</v>
      </c>
      <c r="E98" s="66">
        <f>E95*C98</f>
        <v>866.3</v>
      </c>
      <c r="F98" s="66">
        <f>F95*C98</f>
        <v>903.1</v>
      </c>
      <c r="G98" s="66">
        <f>G95*C98</f>
        <v>916.11</v>
      </c>
      <c r="H98" s="66">
        <f>H95*C98</f>
        <v>987.56</v>
      </c>
      <c r="I98" s="66">
        <f>I95*C98</f>
        <v>853.29</v>
      </c>
      <c r="J98" s="160">
        <f>J95*C98</f>
        <v>903.1</v>
      </c>
    </row>
    <row r="99" spans="1:10" s="30" customFormat="1" x14ac:dyDescent="0.25">
      <c r="A99" s="384"/>
      <c r="B99" s="51" t="s">
        <v>43</v>
      </c>
      <c r="C99" s="88"/>
      <c r="D99" s="77"/>
      <c r="E99" s="77"/>
      <c r="F99" s="77"/>
      <c r="G99" s="77"/>
      <c r="H99" s="77"/>
      <c r="I99" s="77"/>
      <c r="J99" s="62"/>
    </row>
    <row r="100" spans="1:10" s="30" customFormat="1" x14ac:dyDescent="0.25">
      <c r="A100" s="384"/>
      <c r="B100" s="51" t="s">
        <v>44</v>
      </c>
      <c r="C100" s="94"/>
      <c r="D100" s="89"/>
      <c r="E100" s="89"/>
      <c r="F100" s="89"/>
      <c r="G100" s="89"/>
      <c r="H100" s="89"/>
      <c r="I100" s="89"/>
      <c r="J100" s="169"/>
    </row>
    <row r="101" spans="1:10" s="30" customFormat="1" x14ac:dyDescent="0.25">
      <c r="A101" s="384"/>
      <c r="B101" s="50" t="s">
        <v>142</v>
      </c>
      <c r="C101" s="55">
        <v>0.05</v>
      </c>
      <c r="D101" s="66">
        <f>D95*C101</f>
        <v>561.37</v>
      </c>
      <c r="E101" s="66">
        <f>E95*C101</f>
        <v>569.92999999999995</v>
      </c>
      <c r="F101" s="66">
        <f>F95*C101</f>
        <v>594.14</v>
      </c>
      <c r="G101" s="66">
        <f>G95*C101</f>
        <v>602.70000000000005</v>
      </c>
      <c r="H101" s="66">
        <f>H95*C101</f>
        <v>649.71</v>
      </c>
      <c r="I101" s="66">
        <f>I95*C101</f>
        <v>561.37</v>
      </c>
      <c r="J101" s="160">
        <f>J95*C101</f>
        <v>594.14</v>
      </c>
    </row>
    <row r="102" spans="1:10" s="30" customFormat="1" x14ac:dyDescent="0.25">
      <c r="A102" s="251"/>
      <c r="B102" s="98" t="s">
        <v>45</v>
      </c>
      <c r="C102" s="99">
        <f t="shared" ref="C102" si="37">SUM(C97:C101)</f>
        <v>0.14249999999999999</v>
      </c>
      <c r="D102" s="100">
        <f t="shared" ref="D102:J102" si="38">SUM(D97:D101)</f>
        <v>1599.91</v>
      </c>
      <c r="E102" s="100">
        <f t="shared" si="38"/>
        <v>1624.31</v>
      </c>
      <c r="F102" s="100">
        <f t="shared" si="38"/>
        <v>1693.31</v>
      </c>
      <c r="G102" s="100">
        <f t="shared" si="38"/>
        <v>1717.7</v>
      </c>
      <c r="H102" s="100">
        <f t="shared" si="38"/>
        <v>1851.67</v>
      </c>
      <c r="I102" s="100">
        <f t="shared" si="38"/>
        <v>1599.91</v>
      </c>
      <c r="J102" s="170">
        <f t="shared" si="38"/>
        <v>1693.31</v>
      </c>
    </row>
    <row r="103" spans="1:10" s="30" customFormat="1" ht="15.75" customHeight="1" x14ac:dyDescent="0.25">
      <c r="A103" s="366" t="s">
        <v>46</v>
      </c>
      <c r="B103" s="367"/>
      <c r="C103" s="367"/>
      <c r="D103" s="85">
        <f t="shared" ref="D103:J103" si="39">SUM(D92:D93)+D102</f>
        <v>2474.63</v>
      </c>
      <c r="E103" s="85">
        <f t="shared" si="39"/>
        <v>2512.38</v>
      </c>
      <c r="F103" s="85">
        <f t="shared" si="39"/>
        <v>2619.1</v>
      </c>
      <c r="G103" s="85">
        <f t="shared" si="39"/>
        <v>2656.83</v>
      </c>
      <c r="H103" s="85">
        <f t="shared" si="39"/>
        <v>2864.04</v>
      </c>
      <c r="I103" s="85">
        <f t="shared" si="39"/>
        <v>2474.63</v>
      </c>
      <c r="J103" s="166">
        <f t="shared" si="39"/>
        <v>2619.1</v>
      </c>
    </row>
    <row r="104" spans="1:10" s="30" customFormat="1" ht="15.75" customHeight="1" x14ac:dyDescent="0.25">
      <c r="A104" s="385" t="s">
        <v>47</v>
      </c>
      <c r="B104" s="386"/>
      <c r="C104" s="386"/>
      <c r="D104" s="70" t="s">
        <v>10</v>
      </c>
      <c r="E104" s="70" t="s">
        <v>10</v>
      </c>
      <c r="F104" s="70" t="s">
        <v>10</v>
      </c>
      <c r="G104" s="70" t="s">
        <v>10</v>
      </c>
      <c r="H104" s="70" t="s">
        <v>10</v>
      </c>
      <c r="I104" s="70" t="s">
        <v>10</v>
      </c>
      <c r="J104" s="171" t="s">
        <v>10</v>
      </c>
    </row>
    <row r="105" spans="1:10" s="30" customFormat="1" x14ac:dyDescent="0.25">
      <c r="A105" s="49" t="s">
        <v>0</v>
      </c>
      <c r="B105" s="387" t="s">
        <v>48</v>
      </c>
      <c r="C105" s="387"/>
      <c r="D105" s="87">
        <f t="shared" ref="D105:J105" si="40">D25</f>
        <v>3813.12</v>
      </c>
      <c r="E105" s="87">
        <f t="shared" si="40"/>
        <v>3813.12</v>
      </c>
      <c r="F105" s="87">
        <f t="shared" si="40"/>
        <v>4337.5600000000004</v>
      </c>
      <c r="G105" s="87">
        <f t="shared" si="40"/>
        <v>4337.5600000000004</v>
      </c>
      <c r="H105" s="87">
        <f t="shared" si="40"/>
        <v>3813.12</v>
      </c>
      <c r="I105" s="87">
        <f t="shared" si="40"/>
        <v>3813.12</v>
      </c>
      <c r="J105" s="168">
        <f t="shared" si="40"/>
        <v>4337.5600000000004</v>
      </c>
    </row>
    <row r="106" spans="1:10" s="30" customFormat="1" x14ac:dyDescent="0.25">
      <c r="A106" s="49" t="s">
        <v>2</v>
      </c>
      <c r="B106" s="387" t="s">
        <v>159</v>
      </c>
      <c r="C106" s="387"/>
      <c r="D106" s="87">
        <f t="shared" ref="D106:J106" si="41">D53</f>
        <v>3044.57</v>
      </c>
      <c r="E106" s="87">
        <f t="shared" si="41"/>
        <v>3174.24</v>
      </c>
      <c r="F106" s="87">
        <f t="shared" si="41"/>
        <v>3377.89</v>
      </c>
      <c r="G106" s="87">
        <f t="shared" si="41"/>
        <v>3507.56</v>
      </c>
      <c r="H106" s="87">
        <f t="shared" si="41"/>
        <v>3044.57</v>
      </c>
      <c r="I106" s="87">
        <f t="shared" si="41"/>
        <v>3044.57</v>
      </c>
      <c r="J106" s="168">
        <f t="shared" si="41"/>
        <v>3377.89</v>
      </c>
    </row>
    <row r="107" spans="1:10" s="30" customFormat="1" x14ac:dyDescent="0.25">
      <c r="A107" s="49" t="s">
        <v>3</v>
      </c>
      <c r="B107" s="387" t="s">
        <v>157</v>
      </c>
      <c r="C107" s="387"/>
      <c r="D107" s="87">
        <f t="shared" ref="D107:J107" si="42">D61</f>
        <v>272.63</v>
      </c>
      <c r="E107" s="87">
        <f t="shared" si="42"/>
        <v>272.63</v>
      </c>
      <c r="F107" s="87">
        <f t="shared" si="42"/>
        <v>310.14</v>
      </c>
      <c r="G107" s="87">
        <f t="shared" si="42"/>
        <v>310.14</v>
      </c>
      <c r="H107" s="87">
        <f t="shared" si="42"/>
        <v>272.63</v>
      </c>
      <c r="I107" s="87">
        <f t="shared" si="42"/>
        <v>272.63</v>
      </c>
      <c r="J107" s="168">
        <f t="shared" si="42"/>
        <v>310.14</v>
      </c>
    </row>
    <row r="108" spans="1:10" s="30" customFormat="1" x14ac:dyDescent="0.25">
      <c r="A108" s="49" t="s">
        <v>5</v>
      </c>
      <c r="B108" s="387" t="s">
        <v>150</v>
      </c>
      <c r="C108" s="387"/>
      <c r="D108" s="87">
        <f t="shared" ref="D108:J108" si="43">D81</f>
        <v>208.55</v>
      </c>
      <c r="E108" s="87">
        <f t="shared" si="43"/>
        <v>212.33</v>
      </c>
      <c r="F108" s="87">
        <f t="shared" si="43"/>
        <v>234.61</v>
      </c>
      <c r="G108" s="87">
        <f t="shared" si="43"/>
        <v>238.39</v>
      </c>
      <c r="H108" s="87">
        <f t="shared" si="43"/>
        <v>208.55</v>
      </c>
      <c r="I108" s="87">
        <f t="shared" si="43"/>
        <v>208.55</v>
      </c>
      <c r="J108" s="168">
        <f t="shared" si="43"/>
        <v>234.61</v>
      </c>
    </row>
    <row r="109" spans="1:10" s="30" customFormat="1" x14ac:dyDescent="0.25">
      <c r="A109" s="49" t="s">
        <v>20</v>
      </c>
      <c r="B109" s="387" t="s">
        <v>158</v>
      </c>
      <c r="C109" s="387"/>
      <c r="D109" s="87">
        <f t="shared" ref="D109:J109" si="44">D88</f>
        <v>1413.94</v>
      </c>
      <c r="E109" s="87">
        <f t="shared" si="44"/>
        <v>1413.94</v>
      </c>
      <c r="F109" s="87">
        <f t="shared" si="44"/>
        <v>1003.59</v>
      </c>
      <c r="G109" s="87">
        <f t="shared" si="44"/>
        <v>1003.59</v>
      </c>
      <c r="H109" s="87">
        <f t="shared" si="44"/>
        <v>2791.27</v>
      </c>
      <c r="I109" s="87">
        <f t="shared" si="44"/>
        <v>1413.94</v>
      </c>
      <c r="J109" s="168">
        <f t="shared" si="44"/>
        <v>1003.59</v>
      </c>
    </row>
    <row r="110" spans="1:10" s="30" customFormat="1" ht="15.75" customHeight="1" x14ac:dyDescent="0.25">
      <c r="A110" s="384" t="s">
        <v>160</v>
      </c>
      <c r="B110" s="388"/>
      <c r="C110" s="388"/>
      <c r="D110" s="68">
        <f t="shared" ref="D110:J110" si="45">SUM(D105:D109)</f>
        <v>8752.81</v>
      </c>
      <c r="E110" s="68">
        <f t="shared" si="45"/>
        <v>8886.26</v>
      </c>
      <c r="F110" s="68">
        <f t="shared" si="45"/>
        <v>9263.7900000000009</v>
      </c>
      <c r="G110" s="68">
        <f t="shared" si="45"/>
        <v>9397.24</v>
      </c>
      <c r="H110" s="68">
        <f t="shared" si="45"/>
        <v>10130.14</v>
      </c>
      <c r="I110" s="68">
        <f t="shared" si="45"/>
        <v>8752.81</v>
      </c>
      <c r="J110" s="152">
        <f t="shared" si="45"/>
        <v>9263.7900000000009</v>
      </c>
    </row>
    <row r="111" spans="1:10" s="30" customFormat="1" x14ac:dyDescent="0.25">
      <c r="A111" s="251" t="s">
        <v>20</v>
      </c>
      <c r="B111" s="387" t="s">
        <v>161</v>
      </c>
      <c r="C111" s="387"/>
      <c r="D111" s="87">
        <f t="shared" ref="D111:J111" si="46">D103</f>
        <v>2474.63</v>
      </c>
      <c r="E111" s="87">
        <f t="shared" si="46"/>
        <v>2512.38</v>
      </c>
      <c r="F111" s="87">
        <f t="shared" si="46"/>
        <v>2619.1</v>
      </c>
      <c r="G111" s="87">
        <f t="shared" si="46"/>
        <v>2656.83</v>
      </c>
      <c r="H111" s="87">
        <f t="shared" si="46"/>
        <v>2864.04</v>
      </c>
      <c r="I111" s="87">
        <f t="shared" si="46"/>
        <v>2474.63</v>
      </c>
      <c r="J111" s="168">
        <f t="shared" si="46"/>
        <v>2619.1</v>
      </c>
    </row>
    <row r="112" spans="1:10" s="30" customFormat="1" ht="16.5" customHeight="1" thickBot="1" x14ac:dyDescent="0.3">
      <c r="A112" s="381" t="s">
        <v>49</v>
      </c>
      <c r="B112" s="382"/>
      <c r="C112" s="382"/>
      <c r="D112" s="103">
        <f t="shared" ref="D112:J112" si="47">SUM(D110:D111)</f>
        <v>11227.44</v>
      </c>
      <c r="E112" s="103">
        <f t="shared" si="47"/>
        <v>11398.64</v>
      </c>
      <c r="F112" s="103">
        <f t="shared" si="47"/>
        <v>11882.89</v>
      </c>
      <c r="G112" s="103">
        <f t="shared" si="47"/>
        <v>12054.07</v>
      </c>
      <c r="H112" s="103">
        <f t="shared" si="47"/>
        <v>12994.18</v>
      </c>
      <c r="I112" s="103">
        <f t="shared" si="47"/>
        <v>11227.44</v>
      </c>
      <c r="J112" s="172">
        <f t="shared" si="47"/>
        <v>11882.89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383"/>
      <c r="D116" s="383"/>
      <c r="E116" s="383"/>
      <c r="F116" s="383"/>
      <c r="G116" s="383"/>
      <c r="H116" s="383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4">
    <mergeCell ref="C15:J15"/>
    <mergeCell ref="A11:C11"/>
    <mergeCell ref="D11:J11"/>
    <mergeCell ref="A31:J31"/>
    <mergeCell ref="C12:J12"/>
    <mergeCell ref="C14:J14"/>
    <mergeCell ref="A16:C16"/>
    <mergeCell ref="C13:F13"/>
    <mergeCell ref="G13:J13"/>
    <mergeCell ref="C6:J6"/>
    <mergeCell ref="C7:J7"/>
    <mergeCell ref="A8:J8"/>
    <mergeCell ref="A9:J9"/>
    <mergeCell ref="A10:J10"/>
    <mergeCell ref="A1:J1"/>
    <mergeCell ref="A2:J2"/>
    <mergeCell ref="A3:J3"/>
    <mergeCell ref="C4:J4"/>
    <mergeCell ref="C5:J5"/>
    <mergeCell ref="B90:C90"/>
    <mergeCell ref="A82:C82"/>
    <mergeCell ref="B84:C84"/>
    <mergeCell ref="B85:C85"/>
    <mergeCell ref="B86:C86"/>
    <mergeCell ref="B83:C83"/>
    <mergeCell ref="A89:C89"/>
    <mergeCell ref="A88:C88"/>
    <mergeCell ref="B87:C87"/>
    <mergeCell ref="A112:C112"/>
    <mergeCell ref="C116:H116"/>
    <mergeCell ref="A94:A101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B91:C91"/>
    <mergeCell ref="B32:C32"/>
    <mergeCell ref="A30:B30"/>
    <mergeCell ref="A25:C25"/>
    <mergeCell ref="B17:C17"/>
    <mergeCell ref="B27:C27"/>
    <mergeCell ref="A26:B26"/>
    <mergeCell ref="A41:B41"/>
    <mergeCell ref="A53:C53"/>
    <mergeCell ref="B55:C55"/>
    <mergeCell ref="B63:C63"/>
    <mergeCell ref="A61:C61"/>
    <mergeCell ref="A48:C48"/>
    <mergeCell ref="A62:C62"/>
    <mergeCell ref="A54:C54"/>
    <mergeCell ref="A49:C49"/>
    <mergeCell ref="A80:B80"/>
    <mergeCell ref="A81:C81"/>
    <mergeCell ref="A75:C75"/>
    <mergeCell ref="B42:C42"/>
    <mergeCell ref="B72:C72"/>
    <mergeCell ref="A74:B74"/>
    <mergeCell ref="A70:B70"/>
    <mergeCell ref="B77:C77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view="pageBreakPreview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3" width="15.7109375" style="32" customWidth="1"/>
    <col min="4" max="6" width="16.7109375" style="32" customWidth="1"/>
    <col min="7" max="7" width="16.7109375" style="37" customWidth="1"/>
    <col min="8" max="9" width="16.7109375" style="28" customWidth="1"/>
    <col min="10" max="16384" width="9.140625" style="28"/>
  </cols>
  <sheetData>
    <row r="1" spans="1:9" x14ac:dyDescent="0.25">
      <c r="A1" s="391"/>
      <c r="B1" s="392"/>
      <c r="C1" s="392"/>
      <c r="D1" s="392"/>
      <c r="E1" s="392"/>
      <c r="F1" s="392"/>
      <c r="G1" s="392"/>
      <c r="H1" s="392"/>
      <c r="I1" s="393"/>
    </row>
    <row r="2" spans="1:9" s="38" customFormat="1" ht="16.5" customHeight="1" x14ac:dyDescent="0.25">
      <c r="A2" s="394" t="s">
        <v>132</v>
      </c>
      <c r="B2" s="395"/>
      <c r="C2" s="395"/>
      <c r="D2" s="395"/>
      <c r="E2" s="395"/>
      <c r="F2" s="395"/>
      <c r="G2" s="395"/>
      <c r="H2" s="395"/>
      <c r="I2" s="396"/>
    </row>
    <row r="3" spans="1:9" s="38" customFormat="1" x14ac:dyDescent="0.25">
      <c r="A3" s="397" t="s">
        <v>129</v>
      </c>
      <c r="B3" s="398"/>
      <c r="C3" s="398"/>
      <c r="D3" s="398"/>
      <c r="E3" s="398"/>
      <c r="F3" s="398"/>
      <c r="G3" s="398"/>
      <c r="H3" s="398"/>
      <c r="I3" s="399"/>
    </row>
    <row r="4" spans="1:9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0"/>
      <c r="G4" s="400"/>
      <c r="H4" s="400"/>
      <c r="I4" s="401"/>
    </row>
    <row r="5" spans="1:9" s="38" customFormat="1" ht="45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2"/>
      <c r="G5" s="402"/>
      <c r="H5" s="402"/>
      <c r="I5" s="403"/>
    </row>
    <row r="6" spans="1:9" s="38" customFormat="1" ht="15.75" customHeight="1" x14ac:dyDescent="0.25">
      <c r="A6" s="40" t="s">
        <v>3</v>
      </c>
      <c r="B6" s="41" t="s">
        <v>4</v>
      </c>
      <c r="C6" s="402" t="s">
        <v>285</v>
      </c>
      <c r="D6" s="402"/>
      <c r="E6" s="402"/>
      <c r="F6" s="402"/>
      <c r="G6" s="402"/>
      <c r="H6" s="402"/>
      <c r="I6" s="403"/>
    </row>
    <row r="7" spans="1:9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2"/>
      <c r="G7" s="402"/>
      <c r="H7" s="402"/>
      <c r="I7" s="403"/>
    </row>
    <row r="8" spans="1:9" s="38" customFormat="1" x14ac:dyDescent="0.25">
      <c r="A8" s="397" t="s">
        <v>6</v>
      </c>
      <c r="B8" s="398"/>
      <c r="C8" s="398"/>
      <c r="D8" s="398"/>
      <c r="E8" s="398"/>
      <c r="F8" s="398"/>
      <c r="G8" s="398"/>
      <c r="H8" s="398"/>
      <c r="I8" s="399"/>
    </row>
    <row r="9" spans="1:9" s="38" customFormat="1" x14ac:dyDescent="0.25">
      <c r="A9" s="397" t="s">
        <v>7</v>
      </c>
      <c r="B9" s="398"/>
      <c r="C9" s="398"/>
      <c r="D9" s="398"/>
      <c r="E9" s="398"/>
      <c r="F9" s="398"/>
      <c r="G9" s="398"/>
      <c r="H9" s="398"/>
      <c r="I9" s="399"/>
    </row>
    <row r="10" spans="1:9" s="38" customFormat="1" ht="15.75" customHeight="1" x14ac:dyDescent="0.25">
      <c r="A10" s="397" t="s">
        <v>8</v>
      </c>
      <c r="B10" s="398"/>
      <c r="C10" s="398"/>
      <c r="D10" s="398"/>
      <c r="E10" s="398"/>
      <c r="F10" s="398"/>
      <c r="G10" s="398"/>
      <c r="H10" s="398"/>
      <c r="I10" s="399"/>
    </row>
    <row r="11" spans="1:9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4"/>
      <c r="G11" s="434"/>
      <c r="H11" s="434"/>
      <c r="I11" s="435"/>
    </row>
    <row r="12" spans="1:9" s="38" customFormat="1" ht="45" customHeight="1" x14ac:dyDescent="0.25">
      <c r="A12" s="40">
        <v>1</v>
      </c>
      <c r="B12" s="436" t="s">
        <v>133</v>
      </c>
      <c r="C12" s="436"/>
      <c r="D12" s="438" t="s">
        <v>267</v>
      </c>
      <c r="E12" s="439"/>
      <c r="F12" s="439"/>
      <c r="G12" s="439"/>
      <c r="H12" s="439"/>
      <c r="I12" s="440"/>
    </row>
    <row r="13" spans="1:9" s="38" customFormat="1" ht="30" customHeight="1" x14ac:dyDescent="0.25">
      <c r="A13" s="40">
        <v>2</v>
      </c>
      <c r="B13" s="436" t="s">
        <v>11</v>
      </c>
      <c r="C13" s="436"/>
      <c r="D13" s="418">
        <v>3248.32</v>
      </c>
      <c r="E13" s="419"/>
      <c r="F13" s="420"/>
      <c r="G13" s="421">
        <v>3772.76</v>
      </c>
      <c r="H13" s="422"/>
      <c r="I13" s="423"/>
    </row>
    <row r="14" spans="1:9" s="38" customFormat="1" ht="15.75" customHeight="1" x14ac:dyDescent="0.25">
      <c r="A14" s="40">
        <v>3</v>
      </c>
      <c r="B14" s="436" t="s">
        <v>12</v>
      </c>
      <c r="C14" s="436"/>
      <c r="D14" s="438" t="s">
        <v>268</v>
      </c>
      <c r="E14" s="439"/>
      <c r="F14" s="439"/>
      <c r="G14" s="439"/>
      <c r="H14" s="439"/>
      <c r="I14" s="440"/>
    </row>
    <row r="15" spans="1:9" s="38" customFormat="1" x14ac:dyDescent="0.25">
      <c r="A15" s="40">
        <v>4</v>
      </c>
      <c r="B15" s="437" t="s">
        <v>13</v>
      </c>
      <c r="C15" s="437"/>
      <c r="D15" s="441">
        <v>2024</v>
      </c>
      <c r="E15" s="442"/>
      <c r="F15" s="442"/>
      <c r="G15" s="442"/>
      <c r="H15" s="442"/>
      <c r="I15" s="443"/>
    </row>
    <row r="16" spans="1:9" s="39" customFormat="1" x14ac:dyDescent="0.25">
      <c r="A16" s="416" t="s">
        <v>14</v>
      </c>
      <c r="B16" s="417"/>
      <c r="C16" s="417"/>
      <c r="D16" s="250" t="s">
        <v>301</v>
      </c>
      <c r="E16" s="280" t="s">
        <v>272</v>
      </c>
      <c r="F16" s="250" t="s">
        <v>317</v>
      </c>
      <c r="G16" s="280" t="s">
        <v>273</v>
      </c>
      <c r="H16" s="250" t="s">
        <v>310</v>
      </c>
      <c r="I16" s="261" t="s">
        <v>311</v>
      </c>
    </row>
    <row r="17" spans="1:9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7" t="s">
        <v>10</v>
      </c>
      <c r="G17" s="57" t="s">
        <v>10</v>
      </c>
      <c r="H17" s="57" t="s">
        <v>10</v>
      </c>
      <c r="I17" s="58" t="s">
        <v>10</v>
      </c>
    </row>
    <row r="18" spans="1:9" s="38" customFormat="1" ht="15.75" customHeight="1" x14ac:dyDescent="0.25">
      <c r="A18" s="44" t="s">
        <v>0</v>
      </c>
      <c r="B18" s="45" t="s">
        <v>16</v>
      </c>
      <c r="C18" s="43"/>
      <c r="D18" s="74">
        <f>D13</f>
        <v>3248.32</v>
      </c>
      <c r="E18" s="74">
        <f>D13</f>
        <v>3248.32</v>
      </c>
      <c r="F18" s="64">
        <f>G13</f>
        <v>3772.76</v>
      </c>
      <c r="G18" s="74">
        <f>D13</f>
        <v>3248.32</v>
      </c>
      <c r="H18" s="74">
        <f>D13</f>
        <v>3248.32</v>
      </c>
      <c r="I18" s="167">
        <f>G13</f>
        <v>3772.76</v>
      </c>
    </row>
    <row r="19" spans="1:9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76"/>
      <c r="G19" s="76"/>
      <c r="H19" s="76"/>
      <c r="I19" s="60"/>
    </row>
    <row r="20" spans="1:9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2">
        <f t="shared" ref="D20:I20" si="0">40%*1412</f>
        <v>564.79999999999995</v>
      </c>
      <c r="E20" s="72">
        <f t="shared" si="0"/>
        <v>564.79999999999995</v>
      </c>
      <c r="F20" s="72">
        <f t="shared" si="0"/>
        <v>564.79999999999995</v>
      </c>
      <c r="G20" s="76">
        <f t="shared" si="0"/>
        <v>564.79999999999995</v>
      </c>
      <c r="H20" s="76">
        <f t="shared" si="0"/>
        <v>564.79999999999995</v>
      </c>
      <c r="I20" s="60">
        <f t="shared" si="0"/>
        <v>564.79999999999995</v>
      </c>
    </row>
    <row r="21" spans="1:9" s="38" customFormat="1" ht="15.75" customHeight="1" x14ac:dyDescent="0.25">
      <c r="A21" s="44" t="s">
        <v>5</v>
      </c>
      <c r="B21" s="45" t="s">
        <v>19</v>
      </c>
      <c r="C21" s="75"/>
      <c r="D21" s="76">
        <f t="shared" ref="D21:I21" si="1">((((D18+D20)/220)*20%)*8)*15.21</f>
        <v>421.8</v>
      </c>
      <c r="E21" s="76">
        <f t="shared" si="1"/>
        <v>421.8</v>
      </c>
      <c r="F21" s="76">
        <f t="shared" si="1"/>
        <v>479.81</v>
      </c>
      <c r="G21" s="76">
        <f t="shared" si="1"/>
        <v>421.8</v>
      </c>
      <c r="H21" s="76">
        <f t="shared" si="1"/>
        <v>421.8</v>
      </c>
      <c r="I21" s="60">
        <f t="shared" si="1"/>
        <v>479.81</v>
      </c>
    </row>
    <row r="22" spans="1:9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76"/>
      <c r="G22" s="76"/>
      <c r="H22" s="76"/>
      <c r="I22" s="60"/>
    </row>
    <row r="23" spans="1:9" s="38" customFormat="1" x14ac:dyDescent="0.25">
      <c r="A23" s="44" t="s">
        <v>21</v>
      </c>
      <c r="B23" s="45" t="s">
        <v>138</v>
      </c>
      <c r="C23" s="48"/>
      <c r="D23" s="76"/>
      <c r="E23" s="76"/>
      <c r="F23" s="76"/>
      <c r="G23" s="76"/>
      <c r="H23" s="76"/>
      <c r="I23" s="60"/>
    </row>
    <row r="24" spans="1:9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76"/>
      <c r="G24" s="76"/>
      <c r="H24" s="76"/>
      <c r="I24" s="60"/>
    </row>
    <row r="25" spans="1:9" s="39" customFormat="1" ht="15.75" customHeight="1" x14ac:dyDescent="0.25">
      <c r="A25" s="368" t="s">
        <v>152</v>
      </c>
      <c r="B25" s="369"/>
      <c r="C25" s="369"/>
      <c r="D25" s="65">
        <f t="shared" ref="D25:I25" si="2">SUM(D18:D24)</f>
        <v>4234.92</v>
      </c>
      <c r="E25" s="65">
        <f t="shared" si="2"/>
        <v>4234.92</v>
      </c>
      <c r="F25" s="65">
        <f t="shared" si="2"/>
        <v>4817.37</v>
      </c>
      <c r="G25" s="65">
        <f t="shared" si="2"/>
        <v>4234.92</v>
      </c>
      <c r="H25" s="65">
        <f t="shared" si="2"/>
        <v>4234.92</v>
      </c>
      <c r="I25" s="61">
        <f t="shared" si="2"/>
        <v>4817.37</v>
      </c>
    </row>
    <row r="26" spans="1:9" s="39" customFormat="1" x14ac:dyDescent="0.25">
      <c r="A26" s="416" t="s">
        <v>51</v>
      </c>
      <c r="B26" s="417"/>
      <c r="C26" s="417"/>
      <c r="D26" s="238"/>
      <c r="E26" s="238"/>
      <c r="F26" s="238"/>
      <c r="G26" s="238"/>
      <c r="H26" s="238"/>
      <c r="I26" s="239"/>
    </row>
    <row r="27" spans="1:9" s="38" customFormat="1" x14ac:dyDescent="0.25">
      <c r="A27" s="251" t="s">
        <v>141</v>
      </c>
      <c r="B27" s="376" t="s">
        <v>205</v>
      </c>
      <c r="C27" s="378"/>
      <c r="D27" s="68" t="s">
        <v>10</v>
      </c>
      <c r="E27" s="68" t="s">
        <v>10</v>
      </c>
      <c r="F27" s="68" t="s">
        <v>10</v>
      </c>
      <c r="G27" s="68" t="s">
        <v>10</v>
      </c>
      <c r="H27" s="68" t="s">
        <v>10</v>
      </c>
      <c r="I27" s="152" t="s">
        <v>10</v>
      </c>
    </row>
    <row r="28" spans="1:9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352.77</v>
      </c>
      <c r="E28" s="77">
        <f>(E25)*C28</f>
        <v>352.77</v>
      </c>
      <c r="F28" s="77">
        <f>(F25)*C28</f>
        <v>401.29</v>
      </c>
      <c r="G28" s="77">
        <f>(G25)*C28</f>
        <v>352.77</v>
      </c>
      <c r="H28" s="77">
        <f>(H25)*C28</f>
        <v>352.77</v>
      </c>
      <c r="I28" s="62">
        <f>(I25)*C28</f>
        <v>401.29</v>
      </c>
    </row>
    <row r="29" spans="1:9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470.5</v>
      </c>
      <c r="E29" s="77">
        <f>(E25)*C29</f>
        <v>470.5</v>
      </c>
      <c r="F29" s="77">
        <f>(F25)*C29</f>
        <v>535.21</v>
      </c>
      <c r="G29" s="77">
        <f>(G25)*C29</f>
        <v>470.5</v>
      </c>
      <c r="H29" s="77">
        <f>(H25)*C29</f>
        <v>470.5</v>
      </c>
      <c r="I29" s="62">
        <f>(I25)*C29</f>
        <v>535.21</v>
      </c>
    </row>
    <row r="30" spans="1:9" x14ac:dyDescent="0.25">
      <c r="A30" s="366" t="s">
        <v>27</v>
      </c>
      <c r="B30" s="367"/>
      <c r="C30" s="91">
        <f t="shared" ref="C30:I30" si="3">SUM(C28:C29)</f>
        <v>0.19439999999999999</v>
      </c>
      <c r="D30" s="79">
        <f t="shared" si="3"/>
        <v>823.27</v>
      </c>
      <c r="E30" s="79">
        <f t="shared" si="3"/>
        <v>823.27</v>
      </c>
      <c r="F30" s="79">
        <f t="shared" si="3"/>
        <v>936.5</v>
      </c>
      <c r="G30" s="79">
        <f t="shared" si="3"/>
        <v>823.27</v>
      </c>
      <c r="H30" s="79">
        <f t="shared" si="3"/>
        <v>823.27</v>
      </c>
      <c r="I30" s="63">
        <f t="shared" si="3"/>
        <v>936.5</v>
      </c>
    </row>
    <row r="31" spans="1:9" ht="32.25" customHeight="1" x14ac:dyDescent="0.25">
      <c r="A31" s="411" t="s">
        <v>190</v>
      </c>
      <c r="B31" s="412"/>
      <c r="C31" s="412"/>
      <c r="D31" s="412"/>
      <c r="E31" s="412"/>
      <c r="F31" s="412"/>
      <c r="G31" s="412"/>
      <c r="H31" s="412"/>
      <c r="I31" s="413"/>
    </row>
    <row r="32" spans="1:9" x14ac:dyDescent="0.25">
      <c r="A32" s="246" t="s">
        <v>141</v>
      </c>
      <c r="B32" s="428" t="s">
        <v>25</v>
      </c>
      <c r="C32" s="429"/>
      <c r="D32" s="69" t="s">
        <v>10</v>
      </c>
      <c r="E32" s="69" t="s">
        <v>10</v>
      </c>
      <c r="F32" s="69" t="s">
        <v>10</v>
      </c>
      <c r="G32" s="69" t="s">
        <v>10</v>
      </c>
      <c r="H32" s="69" t="s">
        <v>10</v>
      </c>
      <c r="I32" s="151" t="s">
        <v>10</v>
      </c>
    </row>
    <row r="33" spans="1:9" x14ac:dyDescent="0.25">
      <c r="A33" s="49" t="s">
        <v>0</v>
      </c>
      <c r="B33" s="80" t="s">
        <v>207</v>
      </c>
      <c r="C33" s="55">
        <v>0.2</v>
      </c>
      <c r="D33" s="77">
        <f t="shared" ref="D33:D40" si="4">($G$25+D$30)*C33</f>
        <v>1011.64</v>
      </c>
      <c r="E33" s="77">
        <f t="shared" ref="E33:E40" si="5">($G$25+E$30)*C33</f>
        <v>1011.64</v>
      </c>
      <c r="F33" s="77">
        <f t="shared" ref="F33:F40" si="6">($G$25+F$30)*C33</f>
        <v>1034.28</v>
      </c>
      <c r="G33" s="77">
        <f t="shared" ref="G33:G40" si="7">($G$25+G$30)*C33</f>
        <v>1011.64</v>
      </c>
      <c r="H33" s="77">
        <f t="shared" ref="H33:H40" si="8">($H$25+H$30)*C33</f>
        <v>1011.64</v>
      </c>
      <c r="I33" s="62">
        <f t="shared" ref="I33:I40" si="9">($I$25+I$30)*C33</f>
        <v>1150.77</v>
      </c>
    </row>
    <row r="34" spans="1:9" x14ac:dyDescent="0.25">
      <c r="A34" s="49" t="s">
        <v>2</v>
      </c>
      <c r="B34" s="80" t="s">
        <v>208</v>
      </c>
      <c r="C34" s="81">
        <v>1.4999999999999999E-2</v>
      </c>
      <c r="D34" s="77">
        <f t="shared" si="4"/>
        <v>75.87</v>
      </c>
      <c r="E34" s="77">
        <f t="shared" si="5"/>
        <v>75.87</v>
      </c>
      <c r="F34" s="77">
        <f t="shared" si="6"/>
        <v>77.569999999999993</v>
      </c>
      <c r="G34" s="77">
        <f t="shared" si="7"/>
        <v>75.87</v>
      </c>
      <c r="H34" s="77">
        <f t="shared" si="8"/>
        <v>75.87</v>
      </c>
      <c r="I34" s="62">
        <f t="shared" si="9"/>
        <v>86.31</v>
      </c>
    </row>
    <row r="35" spans="1:9" x14ac:dyDescent="0.25">
      <c r="A35" s="49" t="s">
        <v>3</v>
      </c>
      <c r="B35" s="80" t="s">
        <v>209</v>
      </c>
      <c r="C35" s="81">
        <v>0.01</v>
      </c>
      <c r="D35" s="77">
        <f t="shared" si="4"/>
        <v>50.58</v>
      </c>
      <c r="E35" s="77">
        <f t="shared" si="5"/>
        <v>50.58</v>
      </c>
      <c r="F35" s="77">
        <f t="shared" si="6"/>
        <v>51.71</v>
      </c>
      <c r="G35" s="77">
        <f t="shared" si="7"/>
        <v>50.58</v>
      </c>
      <c r="H35" s="77">
        <f t="shared" si="8"/>
        <v>50.58</v>
      </c>
      <c r="I35" s="62">
        <f t="shared" si="9"/>
        <v>57.54</v>
      </c>
    </row>
    <row r="36" spans="1:9" ht="31.5" x14ac:dyDescent="0.25">
      <c r="A36" s="49" t="s">
        <v>5</v>
      </c>
      <c r="B36" s="249" t="s">
        <v>210</v>
      </c>
      <c r="C36" s="81">
        <v>2E-3</v>
      </c>
      <c r="D36" s="77">
        <f t="shared" si="4"/>
        <v>10.119999999999999</v>
      </c>
      <c r="E36" s="77">
        <f t="shared" si="5"/>
        <v>10.119999999999999</v>
      </c>
      <c r="F36" s="77">
        <f t="shared" si="6"/>
        <v>10.34</v>
      </c>
      <c r="G36" s="77">
        <f t="shared" si="7"/>
        <v>10.119999999999999</v>
      </c>
      <c r="H36" s="77">
        <f t="shared" si="8"/>
        <v>10.119999999999999</v>
      </c>
      <c r="I36" s="62">
        <f t="shared" si="9"/>
        <v>11.51</v>
      </c>
    </row>
    <row r="37" spans="1:9" x14ac:dyDescent="0.25">
      <c r="A37" s="49" t="s">
        <v>20</v>
      </c>
      <c r="B37" s="80" t="s">
        <v>211</v>
      </c>
      <c r="C37" s="81">
        <v>2.5000000000000001E-2</v>
      </c>
      <c r="D37" s="77">
        <f t="shared" si="4"/>
        <v>126.45</v>
      </c>
      <c r="E37" s="77">
        <f t="shared" si="5"/>
        <v>126.45</v>
      </c>
      <c r="F37" s="77">
        <f t="shared" si="6"/>
        <v>129.29</v>
      </c>
      <c r="G37" s="77">
        <f t="shared" si="7"/>
        <v>126.45</v>
      </c>
      <c r="H37" s="77">
        <f t="shared" si="8"/>
        <v>126.45</v>
      </c>
      <c r="I37" s="62">
        <f t="shared" si="9"/>
        <v>143.85</v>
      </c>
    </row>
    <row r="38" spans="1:9" x14ac:dyDescent="0.25">
      <c r="A38" s="49" t="s">
        <v>21</v>
      </c>
      <c r="B38" s="107" t="s">
        <v>212</v>
      </c>
      <c r="C38" s="81">
        <v>0.08</v>
      </c>
      <c r="D38" s="77">
        <f t="shared" si="4"/>
        <v>404.66</v>
      </c>
      <c r="E38" s="77">
        <f t="shared" si="5"/>
        <v>404.66</v>
      </c>
      <c r="F38" s="77">
        <f t="shared" si="6"/>
        <v>413.71</v>
      </c>
      <c r="G38" s="77">
        <f t="shared" si="7"/>
        <v>404.66</v>
      </c>
      <c r="H38" s="77">
        <f t="shared" si="8"/>
        <v>404.66</v>
      </c>
      <c r="I38" s="62">
        <f t="shared" si="9"/>
        <v>460.31</v>
      </c>
    </row>
    <row r="39" spans="1:9" ht="47.25" x14ac:dyDescent="0.25">
      <c r="A39" s="49" t="s">
        <v>22</v>
      </c>
      <c r="B39" s="249" t="s">
        <v>213</v>
      </c>
      <c r="C39" s="81">
        <v>0.03</v>
      </c>
      <c r="D39" s="77">
        <f t="shared" si="4"/>
        <v>151.75</v>
      </c>
      <c r="E39" s="77">
        <f t="shared" si="5"/>
        <v>151.75</v>
      </c>
      <c r="F39" s="77">
        <f t="shared" si="6"/>
        <v>155.13999999999999</v>
      </c>
      <c r="G39" s="77">
        <f t="shared" si="7"/>
        <v>151.75</v>
      </c>
      <c r="H39" s="77">
        <f t="shared" si="8"/>
        <v>151.75</v>
      </c>
      <c r="I39" s="62">
        <f t="shared" si="9"/>
        <v>172.62</v>
      </c>
    </row>
    <row r="40" spans="1:9" x14ac:dyDescent="0.25">
      <c r="A40" s="49" t="s">
        <v>26</v>
      </c>
      <c r="B40" s="106" t="s">
        <v>214</v>
      </c>
      <c r="C40" s="81">
        <v>6.0000000000000001E-3</v>
      </c>
      <c r="D40" s="77">
        <f t="shared" si="4"/>
        <v>30.35</v>
      </c>
      <c r="E40" s="77">
        <f t="shared" si="5"/>
        <v>30.35</v>
      </c>
      <c r="F40" s="77">
        <f t="shared" si="6"/>
        <v>31.03</v>
      </c>
      <c r="G40" s="77">
        <f t="shared" si="7"/>
        <v>30.35</v>
      </c>
      <c r="H40" s="77">
        <f t="shared" si="8"/>
        <v>30.35</v>
      </c>
      <c r="I40" s="62">
        <f t="shared" si="9"/>
        <v>34.520000000000003</v>
      </c>
    </row>
    <row r="41" spans="1:9" s="30" customFormat="1" x14ac:dyDescent="0.25">
      <c r="A41" s="366" t="s">
        <v>27</v>
      </c>
      <c r="B41" s="367"/>
      <c r="C41" s="56">
        <f t="shared" ref="C41:I41" si="10">SUM(C33:C40)</f>
        <v>0.36799999999999999</v>
      </c>
      <c r="D41" s="79">
        <f t="shared" si="10"/>
        <v>1861.42</v>
      </c>
      <c r="E41" s="79">
        <f t="shared" si="10"/>
        <v>1861.42</v>
      </c>
      <c r="F41" s="79">
        <f t="shared" si="10"/>
        <v>1903.07</v>
      </c>
      <c r="G41" s="79">
        <f t="shared" si="10"/>
        <v>1861.42</v>
      </c>
      <c r="H41" s="79">
        <f t="shared" si="10"/>
        <v>1861.42</v>
      </c>
      <c r="I41" s="63">
        <f t="shared" si="10"/>
        <v>2117.4299999999998</v>
      </c>
    </row>
    <row r="42" spans="1:9" s="30" customFormat="1" x14ac:dyDescent="0.25">
      <c r="A42" s="370" t="s">
        <v>173</v>
      </c>
      <c r="B42" s="371"/>
      <c r="C42" s="371"/>
      <c r="D42" s="226"/>
      <c r="E42" s="226"/>
      <c r="F42" s="226"/>
      <c r="G42" s="226"/>
      <c r="H42" s="226"/>
      <c r="I42" s="227"/>
    </row>
    <row r="43" spans="1:9" s="30" customFormat="1" x14ac:dyDescent="0.25">
      <c r="A43" s="73" t="s">
        <v>216</v>
      </c>
      <c r="B43" s="430" t="s">
        <v>217</v>
      </c>
      <c r="C43" s="431"/>
      <c r="D43" s="104" t="s">
        <v>10</v>
      </c>
      <c r="E43" s="104" t="s">
        <v>10</v>
      </c>
      <c r="F43" s="104" t="s">
        <v>10</v>
      </c>
      <c r="G43" s="104" t="s">
        <v>10</v>
      </c>
      <c r="H43" s="104" t="s">
        <v>10</v>
      </c>
      <c r="I43" s="164" t="s">
        <v>10</v>
      </c>
    </row>
    <row r="44" spans="1:9" s="30" customFormat="1" x14ac:dyDescent="0.25">
      <c r="A44" s="90" t="s">
        <v>0</v>
      </c>
      <c r="B44" s="53" t="s">
        <v>144</v>
      </c>
      <c r="C44" s="105"/>
      <c r="D44" s="101">
        <v>0</v>
      </c>
      <c r="E44" s="281">
        <v>129.66999999999999</v>
      </c>
      <c r="F44" s="101">
        <v>0</v>
      </c>
      <c r="G44" s="281">
        <v>129.66999999999999</v>
      </c>
      <c r="H44" s="101">
        <v>0</v>
      </c>
      <c r="I44" s="242">
        <v>0</v>
      </c>
    </row>
    <row r="45" spans="1:9" s="30" customFormat="1" x14ac:dyDescent="0.25">
      <c r="A45" s="47" t="s">
        <v>2</v>
      </c>
      <c r="B45" s="46" t="s">
        <v>191</v>
      </c>
      <c r="C45" s="72">
        <v>581.85</v>
      </c>
      <c r="D45" s="74">
        <f>C45-(C45*0.99%)</f>
        <v>576.09</v>
      </c>
      <c r="E45" s="74">
        <f>C45-(C45*0.99%)</f>
        <v>576.09</v>
      </c>
      <c r="F45" s="74">
        <f>C45-(C45*0.99%)</f>
        <v>576.09</v>
      </c>
      <c r="G45" s="74">
        <f>C45-(C45*0.99%)</f>
        <v>576.09</v>
      </c>
      <c r="H45" s="74">
        <f>C45-(C45*0.99%)</f>
        <v>576.09</v>
      </c>
      <c r="I45" s="59">
        <f>C45-(C45*0.99%)</f>
        <v>576.09</v>
      </c>
    </row>
    <row r="46" spans="1:9" s="30" customFormat="1" x14ac:dyDescent="0.25">
      <c r="A46" s="49" t="s">
        <v>3</v>
      </c>
      <c r="B46" s="50" t="s">
        <v>134</v>
      </c>
      <c r="C46" s="66"/>
      <c r="D46" s="84">
        <v>0</v>
      </c>
      <c r="E46" s="84">
        <v>0</v>
      </c>
      <c r="F46" s="84">
        <v>0</v>
      </c>
      <c r="G46" s="84">
        <v>0</v>
      </c>
      <c r="H46" s="84">
        <v>0</v>
      </c>
      <c r="I46" s="165">
        <v>0</v>
      </c>
    </row>
    <row r="47" spans="1:9" s="30" customFormat="1" x14ac:dyDescent="0.25">
      <c r="A47" s="49" t="s">
        <v>5</v>
      </c>
      <c r="B47" s="50" t="s">
        <v>135</v>
      </c>
      <c r="C47" s="55">
        <v>0.5</v>
      </c>
      <c r="D47" s="84">
        <f>(D18*C47*0.0199*2)/12</f>
        <v>5.39</v>
      </c>
      <c r="E47" s="84">
        <f>(E18*C47*0.0199*2)/12</f>
        <v>5.39</v>
      </c>
      <c r="F47" s="84">
        <f>(F18*C47*0.0199*2)/12</f>
        <v>6.26</v>
      </c>
      <c r="G47" s="84">
        <f>(G18*C47*0.0199*2)/12</f>
        <v>5.39</v>
      </c>
      <c r="H47" s="84">
        <f>(H18*C47*0.0199*2)/12</f>
        <v>5.39</v>
      </c>
      <c r="I47" s="165">
        <f>(I18*C47*0.0199*2)/12</f>
        <v>6.26</v>
      </c>
    </row>
    <row r="48" spans="1:9" s="30" customFormat="1" x14ac:dyDescent="0.25">
      <c r="A48" s="49" t="s">
        <v>20</v>
      </c>
      <c r="B48" s="50" t="s">
        <v>136</v>
      </c>
      <c r="C48" s="66"/>
      <c r="D48" s="77">
        <v>45.8</v>
      </c>
      <c r="E48" s="77">
        <v>45.8</v>
      </c>
      <c r="F48" s="77">
        <v>45.8</v>
      </c>
      <c r="G48" s="77">
        <v>45.8</v>
      </c>
      <c r="H48" s="77">
        <v>45.8</v>
      </c>
      <c r="I48" s="77">
        <v>45.8</v>
      </c>
    </row>
    <row r="49" spans="1:9" s="30" customFormat="1" ht="15.75" customHeight="1" x14ac:dyDescent="0.25">
      <c r="A49" s="366" t="s">
        <v>23</v>
      </c>
      <c r="B49" s="367"/>
      <c r="C49" s="367"/>
      <c r="D49" s="79">
        <f t="shared" ref="D49:I49" si="11">SUM(D44:D48)</f>
        <v>627.28</v>
      </c>
      <c r="E49" s="79">
        <f t="shared" si="11"/>
        <v>756.95</v>
      </c>
      <c r="F49" s="79">
        <f t="shared" si="11"/>
        <v>628.15</v>
      </c>
      <c r="G49" s="79">
        <f t="shared" si="11"/>
        <v>756.95</v>
      </c>
      <c r="H49" s="79">
        <f t="shared" si="11"/>
        <v>627.28</v>
      </c>
      <c r="I49" s="63">
        <f t="shared" si="11"/>
        <v>628.15</v>
      </c>
    </row>
    <row r="50" spans="1:9" s="30" customFormat="1" ht="15.75" customHeight="1" x14ac:dyDescent="0.25">
      <c r="A50" s="370" t="s">
        <v>224</v>
      </c>
      <c r="B50" s="371"/>
      <c r="C50" s="371"/>
      <c r="D50" s="226"/>
      <c r="E50" s="226"/>
      <c r="F50" s="226"/>
      <c r="G50" s="226"/>
      <c r="H50" s="226"/>
      <c r="I50" s="227"/>
    </row>
    <row r="51" spans="1:9" s="30" customFormat="1" ht="15.75" customHeight="1" x14ac:dyDescent="0.25">
      <c r="A51" s="257" t="s">
        <v>141</v>
      </c>
      <c r="B51" s="102" t="s">
        <v>145</v>
      </c>
      <c r="C51" s="258"/>
      <c r="D51" s="64">
        <f t="shared" ref="D51:I51" si="12">D30</f>
        <v>823.27</v>
      </c>
      <c r="E51" s="64">
        <f t="shared" si="12"/>
        <v>823.27</v>
      </c>
      <c r="F51" s="64">
        <f t="shared" si="12"/>
        <v>936.5</v>
      </c>
      <c r="G51" s="64">
        <f t="shared" si="12"/>
        <v>823.27</v>
      </c>
      <c r="H51" s="64">
        <f t="shared" si="12"/>
        <v>823.27</v>
      </c>
      <c r="I51" s="167">
        <f t="shared" si="12"/>
        <v>936.5</v>
      </c>
    </row>
    <row r="52" spans="1:9" s="30" customFormat="1" ht="15.75" customHeight="1" x14ac:dyDescent="0.25">
      <c r="A52" s="257" t="s">
        <v>215</v>
      </c>
      <c r="B52" s="102" t="s">
        <v>146</v>
      </c>
      <c r="C52" s="258"/>
      <c r="D52" s="64">
        <f t="shared" ref="D52:I52" si="13">D41</f>
        <v>1861.42</v>
      </c>
      <c r="E52" s="64">
        <f t="shared" si="13"/>
        <v>1861.42</v>
      </c>
      <c r="F52" s="64">
        <f t="shared" si="13"/>
        <v>1903.07</v>
      </c>
      <c r="G52" s="64">
        <f t="shared" si="13"/>
        <v>1861.42</v>
      </c>
      <c r="H52" s="64">
        <f t="shared" si="13"/>
        <v>1861.42</v>
      </c>
      <c r="I52" s="167">
        <f t="shared" si="13"/>
        <v>2117.4299999999998</v>
      </c>
    </row>
    <row r="53" spans="1:9" s="30" customFormat="1" ht="15.75" customHeight="1" x14ac:dyDescent="0.25">
      <c r="A53" s="257" t="s">
        <v>216</v>
      </c>
      <c r="B53" s="102" t="s">
        <v>147</v>
      </c>
      <c r="C53" s="258"/>
      <c r="D53" s="64">
        <f t="shared" ref="D53:I53" si="14">D49</f>
        <v>627.28</v>
      </c>
      <c r="E53" s="64">
        <f t="shared" si="14"/>
        <v>756.95</v>
      </c>
      <c r="F53" s="64">
        <f t="shared" si="14"/>
        <v>628.15</v>
      </c>
      <c r="G53" s="64">
        <f t="shared" si="14"/>
        <v>756.95</v>
      </c>
      <c r="H53" s="64">
        <f t="shared" si="14"/>
        <v>627.28</v>
      </c>
      <c r="I53" s="167">
        <f t="shared" si="14"/>
        <v>628.15</v>
      </c>
    </row>
    <row r="54" spans="1:9" s="30" customFormat="1" ht="15.75" customHeight="1" x14ac:dyDescent="0.25">
      <c r="A54" s="368" t="s">
        <v>153</v>
      </c>
      <c r="B54" s="369"/>
      <c r="C54" s="369"/>
      <c r="D54" s="65">
        <f t="shared" ref="D54:I54" si="15">SUM(D51:D53)</f>
        <v>3311.97</v>
      </c>
      <c r="E54" s="65">
        <f t="shared" si="15"/>
        <v>3441.64</v>
      </c>
      <c r="F54" s="65">
        <f t="shared" si="15"/>
        <v>3467.72</v>
      </c>
      <c r="G54" s="65">
        <f t="shared" si="15"/>
        <v>3441.64</v>
      </c>
      <c r="H54" s="65">
        <f t="shared" si="15"/>
        <v>3311.97</v>
      </c>
      <c r="I54" s="61">
        <f t="shared" si="15"/>
        <v>3682.08</v>
      </c>
    </row>
    <row r="55" spans="1:9" s="30" customFormat="1" ht="15.75" customHeight="1" x14ac:dyDescent="0.25">
      <c r="A55" s="416" t="s">
        <v>162</v>
      </c>
      <c r="B55" s="417"/>
      <c r="C55" s="417"/>
      <c r="D55" s="238"/>
      <c r="E55" s="238"/>
      <c r="F55" s="238"/>
      <c r="G55" s="238"/>
      <c r="H55" s="238"/>
      <c r="I55" s="239"/>
    </row>
    <row r="56" spans="1:9" s="30" customFormat="1" ht="15.75" customHeight="1" x14ac:dyDescent="0.25">
      <c r="A56" s="251" t="s">
        <v>200</v>
      </c>
      <c r="B56" s="376" t="s">
        <v>32</v>
      </c>
      <c r="C56" s="377"/>
      <c r="D56" s="68" t="s">
        <v>10</v>
      </c>
      <c r="E56" s="68" t="s">
        <v>10</v>
      </c>
      <c r="F56" s="68" t="s">
        <v>10</v>
      </c>
      <c r="G56" s="68" t="s">
        <v>10</v>
      </c>
      <c r="H56" s="68" t="s">
        <v>10</v>
      </c>
      <c r="I56" s="152" t="s">
        <v>10</v>
      </c>
    </row>
    <row r="57" spans="1:9" s="30" customFormat="1" ht="15.75" customHeight="1" x14ac:dyDescent="0.25">
      <c r="A57" s="49" t="s">
        <v>0</v>
      </c>
      <c r="B57" s="50" t="s">
        <v>33</v>
      </c>
      <c r="C57" s="55">
        <v>4.5999999999999999E-3</v>
      </c>
      <c r="D57" s="77">
        <f>D$25*C57</f>
        <v>19.48</v>
      </c>
      <c r="E57" s="77">
        <f>E$25*C57</f>
        <v>19.48</v>
      </c>
      <c r="F57" s="77">
        <f>F$25*C57</f>
        <v>22.16</v>
      </c>
      <c r="G57" s="77">
        <f>G$25*C57</f>
        <v>19.48</v>
      </c>
      <c r="H57" s="77">
        <f>H$25*C57</f>
        <v>19.48</v>
      </c>
      <c r="I57" s="62">
        <f>I$25*C57</f>
        <v>22.16</v>
      </c>
    </row>
    <row r="58" spans="1:9" s="30" customFormat="1" ht="15.75" customHeight="1" x14ac:dyDescent="0.25">
      <c r="A58" s="49" t="s">
        <v>2</v>
      </c>
      <c r="B58" s="50" t="s">
        <v>34</v>
      </c>
      <c r="C58" s="55">
        <v>4.0000000000000002E-4</v>
      </c>
      <c r="D58" s="77">
        <f>D$25*C58</f>
        <v>1.69</v>
      </c>
      <c r="E58" s="77">
        <f>E$25*C58</f>
        <v>1.69</v>
      </c>
      <c r="F58" s="77">
        <f>F$25*C58</f>
        <v>1.93</v>
      </c>
      <c r="G58" s="77">
        <f>G$25*C58</f>
        <v>1.69</v>
      </c>
      <c r="H58" s="77">
        <f>H$25*C58</f>
        <v>1.69</v>
      </c>
      <c r="I58" s="62">
        <f>I$25*C58</f>
        <v>1.93</v>
      </c>
    </row>
    <row r="59" spans="1:9" s="30" customFormat="1" ht="15.75" customHeight="1" x14ac:dyDescent="0.25">
      <c r="A59" s="49" t="s">
        <v>3</v>
      </c>
      <c r="B59" s="52" t="s">
        <v>35</v>
      </c>
      <c r="C59" s="55">
        <v>1.9400000000000001E-2</v>
      </c>
      <c r="D59" s="77">
        <f>D$25*C59</f>
        <v>82.16</v>
      </c>
      <c r="E59" s="77">
        <f>E$25*C59</f>
        <v>82.16</v>
      </c>
      <c r="F59" s="77">
        <f>F$25*C59</f>
        <v>93.46</v>
      </c>
      <c r="G59" s="77">
        <f>G$25*C59</f>
        <v>82.16</v>
      </c>
      <c r="H59" s="77">
        <f>H$25*C59</f>
        <v>82.16</v>
      </c>
      <c r="I59" s="62">
        <f>I$25*C59</f>
        <v>93.46</v>
      </c>
    </row>
    <row r="60" spans="1:9" s="30" customFormat="1" ht="30.75" customHeight="1" x14ac:dyDescent="0.25">
      <c r="A60" s="49" t="s">
        <v>5</v>
      </c>
      <c r="B60" s="50" t="s">
        <v>174</v>
      </c>
      <c r="C60" s="55">
        <v>7.1000000000000004E-3</v>
      </c>
      <c r="D60" s="77">
        <f>D$25*C60</f>
        <v>30.07</v>
      </c>
      <c r="E60" s="77">
        <f>E$25*C60</f>
        <v>30.07</v>
      </c>
      <c r="F60" s="77">
        <f>F$25*C60</f>
        <v>34.200000000000003</v>
      </c>
      <c r="G60" s="77">
        <f>G$25*C60</f>
        <v>30.07</v>
      </c>
      <c r="H60" s="77">
        <f>H$25*C60</f>
        <v>30.07</v>
      </c>
      <c r="I60" s="62">
        <f>I$25*C60</f>
        <v>34.200000000000003</v>
      </c>
    </row>
    <row r="61" spans="1:9" s="30" customFormat="1" ht="15.75" customHeight="1" x14ac:dyDescent="0.25">
      <c r="A61" s="49" t="s">
        <v>20</v>
      </c>
      <c r="B61" s="50" t="s">
        <v>149</v>
      </c>
      <c r="C61" s="55">
        <v>0.04</v>
      </c>
      <c r="D61" s="77">
        <f>D$25*C61</f>
        <v>169.4</v>
      </c>
      <c r="E61" s="77">
        <f>E$25*C61</f>
        <v>169.4</v>
      </c>
      <c r="F61" s="77">
        <f>F$25*C61</f>
        <v>192.69</v>
      </c>
      <c r="G61" s="77">
        <f>G$25*C61</f>
        <v>169.4</v>
      </c>
      <c r="H61" s="77">
        <f>H$25*C61</f>
        <v>169.4</v>
      </c>
      <c r="I61" s="62">
        <f>I$25*C61</f>
        <v>192.69</v>
      </c>
    </row>
    <row r="62" spans="1:9" s="30" customFormat="1" x14ac:dyDescent="0.25">
      <c r="A62" s="368" t="s">
        <v>154</v>
      </c>
      <c r="B62" s="369"/>
      <c r="C62" s="369"/>
      <c r="D62" s="65">
        <f t="shared" ref="D62:I62" si="16">SUM(D57:D61)</f>
        <v>302.8</v>
      </c>
      <c r="E62" s="65">
        <f t="shared" si="16"/>
        <v>302.8</v>
      </c>
      <c r="F62" s="65">
        <f t="shared" si="16"/>
        <v>344.44</v>
      </c>
      <c r="G62" s="65">
        <f t="shared" si="16"/>
        <v>302.8</v>
      </c>
      <c r="H62" s="65">
        <f t="shared" si="16"/>
        <v>302.8</v>
      </c>
      <c r="I62" s="61">
        <f t="shared" si="16"/>
        <v>344.44</v>
      </c>
    </row>
    <row r="63" spans="1:9" s="30" customFormat="1" x14ac:dyDescent="0.25">
      <c r="A63" s="416" t="s">
        <v>163</v>
      </c>
      <c r="B63" s="417"/>
      <c r="C63" s="417"/>
      <c r="D63" s="238"/>
      <c r="E63" s="238"/>
      <c r="F63" s="238"/>
      <c r="G63" s="238"/>
      <c r="H63" s="238"/>
      <c r="I63" s="239"/>
    </row>
    <row r="64" spans="1:9" s="30" customFormat="1" x14ac:dyDescent="0.25">
      <c r="A64" s="251" t="s">
        <v>199</v>
      </c>
      <c r="B64" s="380" t="s">
        <v>198</v>
      </c>
      <c r="C64" s="380"/>
      <c r="D64" s="68" t="s">
        <v>10</v>
      </c>
      <c r="E64" s="68" t="s">
        <v>10</v>
      </c>
      <c r="F64" s="68" t="s">
        <v>10</v>
      </c>
      <c r="G64" s="68" t="s">
        <v>10</v>
      </c>
      <c r="H64" s="68" t="s">
        <v>10</v>
      </c>
      <c r="I64" s="152" t="s">
        <v>10</v>
      </c>
    </row>
    <row r="65" spans="1:9" s="30" customFormat="1" x14ac:dyDescent="0.25">
      <c r="A65" s="49" t="s">
        <v>0</v>
      </c>
      <c r="B65" s="50" t="s">
        <v>192</v>
      </c>
      <c r="C65" s="55">
        <v>9.2999999999999992E-3</v>
      </c>
      <c r="D65" s="77">
        <f t="shared" ref="D65:D70" si="17">(D$25+D$54+D$62+D$85)*C65</f>
        <v>73.34</v>
      </c>
      <c r="E65" s="77">
        <f t="shared" ref="E65:E70" si="18">(E$25+E$54+E$62+E$85)*C65</f>
        <v>74.55</v>
      </c>
      <c r="F65" s="77">
        <f t="shared" ref="F65:F70" si="19">(F$25+F$54+F$62+F$85)*C65</f>
        <v>80.599999999999994</v>
      </c>
      <c r="G65" s="77">
        <f t="shared" ref="G65:G70" si="20">(G$25+G$54+G$62+G$85)*C65</f>
        <v>74.55</v>
      </c>
      <c r="H65" s="77">
        <f t="shared" ref="H65:H70" si="21">(H$25+H$54+H$62+H$85)*C65</f>
        <v>73.34</v>
      </c>
      <c r="I65" s="62">
        <f t="shared" ref="I65:I70" si="22">(I$25+I$54+I$62+I$85)*C65</f>
        <v>82.59</v>
      </c>
    </row>
    <row r="66" spans="1:9" s="30" customFormat="1" x14ac:dyDescent="0.25">
      <c r="A66" s="49" t="s">
        <v>2</v>
      </c>
      <c r="B66" s="50" t="s">
        <v>193</v>
      </c>
      <c r="C66" s="55">
        <v>1.66E-2</v>
      </c>
      <c r="D66" s="77">
        <f t="shared" si="17"/>
        <v>130.91</v>
      </c>
      <c r="E66" s="77">
        <f t="shared" si="18"/>
        <v>133.07</v>
      </c>
      <c r="F66" s="77">
        <f t="shared" si="19"/>
        <v>143.86000000000001</v>
      </c>
      <c r="G66" s="77">
        <f t="shared" si="20"/>
        <v>133.07</v>
      </c>
      <c r="H66" s="77">
        <f t="shared" si="21"/>
        <v>130.91</v>
      </c>
      <c r="I66" s="62">
        <f t="shared" si="22"/>
        <v>147.41999999999999</v>
      </c>
    </row>
    <row r="67" spans="1:9" s="30" customFormat="1" x14ac:dyDescent="0.25">
      <c r="A67" s="49" t="s">
        <v>3</v>
      </c>
      <c r="B67" s="50" t="s">
        <v>194</v>
      </c>
      <c r="C67" s="55">
        <v>2.0000000000000001E-4</v>
      </c>
      <c r="D67" s="77">
        <f t="shared" si="17"/>
        <v>1.58</v>
      </c>
      <c r="E67" s="77">
        <f t="shared" si="18"/>
        <v>1.6</v>
      </c>
      <c r="F67" s="77">
        <f t="shared" si="19"/>
        <v>1.73</v>
      </c>
      <c r="G67" s="77">
        <f t="shared" si="20"/>
        <v>1.6</v>
      </c>
      <c r="H67" s="77">
        <f t="shared" si="21"/>
        <v>1.58</v>
      </c>
      <c r="I67" s="62">
        <f t="shared" si="22"/>
        <v>1.78</v>
      </c>
    </row>
    <row r="68" spans="1:9" s="30" customFormat="1" x14ac:dyDescent="0.25">
      <c r="A68" s="49" t="s">
        <v>5</v>
      </c>
      <c r="B68" s="50" t="s">
        <v>195</v>
      </c>
      <c r="C68" s="55">
        <v>2.7000000000000001E-3</v>
      </c>
      <c r="D68" s="77">
        <f t="shared" si="17"/>
        <v>21.29</v>
      </c>
      <c r="E68" s="77">
        <f t="shared" si="18"/>
        <v>21.64</v>
      </c>
      <c r="F68" s="77">
        <f t="shared" si="19"/>
        <v>23.4</v>
      </c>
      <c r="G68" s="77">
        <f t="shared" si="20"/>
        <v>21.64</v>
      </c>
      <c r="H68" s="77">
        <f t="shared" si="21"/>
        <v>21.29</v>
      </c>
      <c r="I68" s="62">
        <f t="shared" si="22"/>
        <v>23.98</v>
      </c>
    </row>
    <row r="69" spans="1:9" s="30" customFormat="1" x14ac:dyDescent="0.25">
      <c r="A69" s="49" t="s">
        <v>20</v>
      </c>
      <c r="B69" s="50" t="s">
        <v>196</v>
      </c>
      <c r="C69" s="55">
        <v>2.9999999999999997E-4</v>
      </c>
      <c r="D69" s="77">
        <f t="shared" si="17"/>
        <v>2.37</v>
      </c>
      <c r="E69" s="77">
        <f t="shared" si="18"/>
        <v>2.4</v>
      </c>
      <c r="F69" s="77">
        <f t="shared" si="19"/>
        <v>2.6</v>
      </c>
      <c r="G69" s="77">
        <f t="shared" si="20"/>
        <v>2.4</v>
      </c>
      <c r="H69" s="77">
        <f t="shared" si="21"/>
        <v>2.37</v>
      </c>
      <c r="I69" s="62">
        <f t="shared" si="22"/>
        <v>2.66</v>
      </c>
    </row>
    <row r="70" spans="1:9" s="30" customFormat="1" ht="15.75" customHeight="1" x14ac:dyDescent="0.25">
      <c r="A70" s="49" t="s">
        <v>21</v>
      </c>
      <c r="B70" s="254" t="s">
        <v>197</v>
      </c>
      <c r="C70" s="55">
        <v>0</v>
      </c>
      <c r="D70" s="77">
        <f t="shared" si="17"/>
        <v>0</v>
      </c>
      <c r="E70" s="77">
        <f t="shared" si="18"/>
        <v>0</v>
      </c>
      <c r="F70" s="77">
        <f t="shared" si="19"/>
        <v>0</v>
      </c>
      <c r="G70" s="77">
        <f t="shared" si="20"/>
        <v>0</v>
      </c>
      <c r="H70" s="77">
        <f t="shared" si="21"/>
        <v>0</v>
      </c>
      <c r="I70" s="62">
        <f t="shared" si="22"/>
        <v>0</v>
      </c>
    </row>
    <row r="71" spans="1:9" s="30" customFormat="1" x14ac:dyDescent="0.25">
      <c r="A71" s="366" t="s">
        <v>29</v>
      </c>
      <c r="B71" s="367"/>
      <c r="C71" s="56">
        <f t="shared" ref="C71:I71" si="23">SUM(C65:C70)</f>
        <v>2.9100000000000001E-2</v>
      </c>
      <c r="D71" s="79">
        <f t="shared" si="23"/>
        <v>229.49</v>
      </c>
      <c r="E71" s="79">
        <f t="shared" si="23"/>
        <v>233.26</v>
      </c>
      <c r="F71" s="79">
        <f t="shared" si="23"/>
        <v>252.19</v>
      </c>
      <c r="G71" s="79">
        <f t="shared" si="23"/>
        <v>233.26</v>
      </c>
      <c r="H71" s="79">
        <f t="shared" si="23"/>
        <v>229.49</v>
      </c>
      <c r="I71" s="63">
        <f t="shared" si="23"/>
        <v>258.43</v>
      </c>
    </row>
    <row r="72" spans="1:9" s="30" customFormat="1" x14ac:dyDescent="0.25">
      <c r="A72" s="257"/>
      <c r="B72" s="258"/>
      <c r="C72" s="71"/>
      <c r="D72" s="71"/>
      <c r="E72" s="74"/>
      <c r="F72" s="71"/>
      <c r="G72" s="74"/>
      <c r="H72" s="74"/>
      <c r="I72" s="59"/>
    </row>
    <row r="73" spans="1:9" s="30" customFormat="1" x14ac:dyDescent="0.25">
      <c r="A73" s="257"/>
      <c r="B73" s="374" t="s">
        <v>201</v>
      </c>
      <c r="C73" s="375"/>
      <c r="D73" s="68" t="s">
        <v>10</v>
      </c>
      <c r="E73" s="68" t="s">
        <v>10</v>
      </c>
      <c r="F73" s="68" t="s">
        <v>10</v>
      </c>
      <c r="G73" s="68" t="s">
        <v>10</v>
      </c>
      <c r="H73" s="68" t="s">
        <v>10</v>
      </c>
      <c r="I73" s="152" t="s">
        <v>10</v>
      </c>
    </row>
    <row r="74" spans="1:9" s="30" customFormat="1" x14ac:dyDescent="0.25">
      <c r="A74" s="49" t="s">
        <v>0</v>
      </c>
      <c r="B74" s="50" t="s">
        <v>202</v>
      </c>
      <c r="C74" s="55">
        <v>0</v>
      </c>
      <c r="D74" s="77">
        <f>(D$25+D$54+D$62)*C74</f>
        <v>0</v>
      </c>
      <c r="E74" s="77">
        <f>(E$25+E$54+E$62)*C74</f>
        <v>0</v>
      </c>
      <c r="F74" s="77">
        <f>(F$25+F$54+F$62)*C74</f>
        <v>0</v>
      </c>
      <c r="G74" s="77">
        <f>(G$25+G$54+G$62)*C74</f>
        <v>0</v>
      </c>
      <c r="H74" s="77">
        <f>(H$25+H$54+H$62)*C74</f>
        <v>0</v>
      </c>
      <c r="I74" s="62">
        <f>(I$25+I$54+I$62)*C74</f>
        <v>0</v>
      </c>
    </row>
    <row r="75" spans="1:9" s="30" customFormat="1" ht="15.75" customHeight="1" x14ac:dyDescent="0.25">
      <c r="A75" s="366" t="s">
        <v>27</v>
      </c>
      <c r="B75" s="367"/>
      <c r="C75" s="93">
        <f t="shared" ref="C75:I75" si="24">C74</f>
        <v>0</v>
      </c>
      <c r="D75" s="79">
        <f t="shared" si="24"/>
        <v>0</v>
      </c>
      <c r="E75" s="79">
        <f t="shared" si="24"/>
        <v>0</v>
      </c>
      <c r="F75" s="79">
        <f t="shared" si="24"/>
        <v>0</v>
      </c>
      <c r="G75" s="79">
        <f t="shared" si="24"/>
        <v>0</v>
      </c>
      <c r="H75" s="79">
        <f t="shared" si="24"/>
        <v>0</v>
      </c>
      <c r="I75" s="63">
        <f t="shared" si="24"/>
        <v>0</v>
      </c>
    </row>
    <row r="76" spans="1:9" s="30" customFormat="1" ht="15.75" customHeight="1" x14ac:dyDescent="0.25">
      <c r="A76" s="370" t="s">
        <v>30</v>
      </c>
      <c r="B76" s="371"/>
      <c r="C76" s="371"/>
      <c r="D76" s="226"/>
      <c r="E76" s="226"/>
      <c r="F76" s="226"/>
      <c r="G76" s="226"/>
      <c r="H76" s="226"/>
      <c r="I76" s="227"/>
    </row>
    <row r="77" spans="1:9" s="30" customFormat="1" ht="15.75" customHeight="1" x14ac:dyDescent="0.25">
      <c r="A77" s="432" t="s">
        <v>203</v>
      </c>
      <c r="B77" s="433"/>
      <c r="C77" s="433"/>
      <c r="D77" s="98"/>
      <c r="E77" s="98"/>
      <c r="F77" s="98"/>
      <c r="G77" s="98"/>
      <c r="H77" s="98"/>
      <c r="I77" s="241"/>
    </row>
    <row r="78" spans="1:9" s="30" customFormat="1" ht="15.75" customHeight="1" x14ac:dyDescent="0.25">
      <c r="A78" s="251">
        <v>4</v>
      </c>
      <c r="B78" s="376" t="s">
        <v>31</v>
      </c>
      <c r="C78" s="377"/>
      <c r="D78" s="68" t="s">
        <v>10</v>
      </c>
      <c r="E78" s="68" t="s">
        <v>10</v>
      </c>
      <c r="F78" s="68" t="s">
        <v>10</v>
      </c>
      <c r="G78" s="68" t="s">
        <v>10</v>
      </c>
      <c r="H78" s="68" t="s">
        <v>10</v>
      </c>
      <c r="I78" s="152" t="s">
        <v>10</v>
      </c>
    </row>
    <row r="79" spans="1:9" s="30" customFormat="1" ht="15.75" customHeight="1" x14ac:dyDescent="0.25">
      <c r="A79" s="49" t="s">
        <v>199</v>
      </c>
      <c r="B79" s="254" t="s">
        <v>198</v>
      </c>
      <c r="C79" s="55">
        <f t="shared" ref="C79:I79" si="25">C71</f>
        <v>2.9100000000000001E-2</v>
      </c>
      <c r="D79" s="77">
        <f t="shared" si="25"/>
        <v>229.49</v>
      </c>
      <c r="E79" s="77">
        <f t="shared" si="25"/>
        <v>233.26</v>
      </c>
      <c r="F79" s="77">
        <f t="shared" si="25"/>
        <v>252.19</v>
      </c>
      <c r="G79" s="77">
        <f t="shared" si="25"/>
        <v>233.26</v>
      </c>
      <c r="H79" s="77">
        <f t="shared" si="25"/>
        <v>229.49</v>
      </c>
      <c r="I79" s="62">
        <f t="shared" si="25"/>
        <v>258.43</v>
      </c>
    </row>
    <row r="80" spans="1:9" s="30" customFormat="1" ht="15.75" customHeight="1" x14ac:dyDescent="0.25">
      <c r="A80" s="49" t="s">
        <v>221</v>
      </c>
      <c r="B80" s="254" t="s">
        <v>201</v>
      </c>
      <c r="C80" s="55">
        <v>0</v>
      </c>
      <c r="D80" s="77">
        <f>(D$25+D$54+D$62)*C80</f>
        <v>0</v>
      </c>
      <c r="E80" s="77">
        <f>(E$25+E$54+E$62)*C80</f>
        <v>0</v>
      </c>
      <c r="F80" s="77">
        <f>(F$25+F$54+F$62)*C80</f>
        <v>0</v>
      </c>
      <c r="G80" s="77">
        <f>(G$25+G$54+G$62)*C80</f>
        <v>0</v>
      </c>
      <c r="H80" s="77">
        <f>(H$25+H$54+H$62)*D80</f>
        <v>0</v>
      </c>
      <c r="I80" s="62">
        <f>(I$25+I$54+I$62)*E80</f>
        <v>0</v>
      </c>
    </row>
    <row r="81" spans="1:9" s="30" customFormat="1" ht="15.75" customHeight="1" x14ac:dyDescent="0.25">
      <c r="A81" s="366" t="s">
        <v>27</v>
      </c>
      <c r="B81" s="367"/>
      <c r="C81" s="91">
        <f t="shared" ref="C81:I81" si="26">SUM(C79:C80)</f>
        <v>2.9100000000000001E-2</v>
      </c>
      <c r="D81" s="79">
        <f t="shared" si="26"/>
        <v>229.49</v>
      </c>
      <c r="E81" s="79">
        <f t="shared" si="26"/>
        <v>233.26</v>
      </c>
      <c r="F81" s="79">
        <f t="shared" si="26"/>
        <v>252.19</v>
      </c>
      <c r="G81" s="79">
        <f t="shared" si="26"/>
        <v>233.26</v>
      </c>
      <c r="H81" s="79">
        <f t="shared" si="26"/>
        <v>229.49</v>
      </c>
      <c r="I81" s="63">
        <f t="shared" si="26"/>
        <v>258.43</v>
      </c>
    </row>
    <row r="82" spans="1:9" s="30" customFormat="1" ht="15.75" customHeight="1" x14ac:dyDescent="0.25">
      <c r="A82" s="368" t="s">
        <v>155</v>
      </c>
      <c r="B82" s="369"/>
      <c r="C82" s="369"/>
      <c r="D82" s="65">
        <f t="shared" ref="D82:I82" si="27">SUM(D75+D81)</f>
        <v>229.49</v>
      </c>
      <c r="E82" s="65">
        <f t="shared" si="27"/>
        <v>233.26</v>
      </c>
      <c r="F82" s="65">
        <f t="shared" si="27"/>
        <v>252.19</v>
      </c>
      <c r="G82" s="65">
        <f t="shared" si="27"/>
        <v>233.26</v>
      </c>
      <c r="H82" s="65">
        <f t="shared" si="27"/>
        <v>229.49</v>
      </c>
      <c r="I82" s="61">
        <f t="shared" si="27"/>
        <v>258.43</v>
      </c>
    </row>
    <row r="83" spans="1:9" s="30" customFormat="1" ht="15.75" customHeight="1" x14ac:dyDescent="0.25">
      <c r="A83" s="416" t="s">
        <v>164</v>
      </c>
      <c r="B83" s="417"/>
      <c r="C83" s="417"/>
      <c r="D83" s="238"/>
      <c r="E83" s="238"/>
      <c r="F83" s="238"/>
      <c r="G83" s="238"/>
      <c r="H83" s="238"/>
      <c r="I83" s="239"/>
    </row>
    <row r="84" spans="1:9" s="30" customFormat="1" ht="15.75" customHeight="1" x14ac:dyDescent="0.25">
      <c r="A84" s="251">
        <v>5</v>
      </c>
      <c r="B84" s="376" t="s">
        <v>24</v>
      </c>
      <c r="C84" s="377"/>
      <c r="D84" s="68" t="s">
        <v>10</v>
      </c>
      <c r="E84" s="68" t="s">
        <v>10</v>
      </c>
      <c r="F84" s="68" t="s">
        <v>10</v>
      </c>
      <c r="G84" s="68" t="s">
        <v>10</v>
      </c>
      <c r="H84" s="68" t="s">
        <v>10</v>
      </c>
      <c r="I84" s="152" t="s">
        <v>10</v>
      </c>
    </row>
    <row r="85" spans="1:9" s="30" customFormat="1" ht="15.75" customHeight="1" x14ac:dyDescent="0.25">
      <c r="A85" s="47" t="s">
        <v>0</v>
      </c>
      <c r="B85" s="390" t="s">
        <v>222</v>
      </c>
      <c r="C85" s="390"/>
      <c r="D85" s="77">
        <f>Uniformes!H7</f>
        <v>36.619999999999997</v>
      </c>
      <c r="E85" s="77">
        <f>Uniformes!H7</f>
        <v>36.619999999999997</v>
      </c>
      <c r="F85" s="77">
        <f>Uniformes!H7</f>
        <v>36.619999999999997</v>
      </c>
      <c r="G85" s="77">
        <f>Uniformes!H7</f>
        <v>36.619999999999997</v>
      </c>
      <c r="H85" s="74">
        <f>Uniformes!H7</f>
        <v>36.619999999999997</v>
      </c>
      <c r="I85" s="59">
        <f>Uniformes!H7</f>
        <v>36.619999999999997</v>
      </c>
    </row>
    <row r="86" spans="1:9" s="30" customFormat="1" ht="15.75" customHeight="1" x14ac:dyDescent="0.25">
      <c r="A86" s="47" t="s">
        <v>2</v>
      </c>
      <c r="B86" s="390" t="s">
        <v>223</v>
      </c>
      <c r="C86" s="390"/>
      <c r="D86" s="77">
        <f>Materiais!H18</f>
        <v>64.819999999999993</v>
      </c>
      <c r="E86" s="77">
        <f>Materiais!H19</f>
        <v>64.819999999999993</v>
      </c>
      <c r="F86" s="77">
        <f>Materiais!H20</f>
        <v>44.57</v>
      </c>
      <c r="G86" s="77">
        <f>Materiais!H21</f>
        <v>44.57</v>
      </c>
      <c r="H86" s="74">
        <f>Materiais!H23</f>
        <v>64.819999999999993</v>
      </c>
      <c r="I86" s="59">
        <f>Materiais!H24</f>
        <v>44.57</v>
      </c>
    </row>
    <row r="87" spans="1:9" s="30" customFormat="1" ht="15.75" customHeight="1" x14ac:dyDescent="0.25">
      <c r="A87" s="47" t="s">
        <v>3</v>
      </c>
      <c r="B87" s="390" t="s">
        <v>187</v>
      </c>
      <c r="C87" s="390"/>
      <c r="D87" s="74">
        <f>Equipamentos!H18</f>
        <v>1312.5</v>
      </c>
      <c r="E87" s="74">
        <f>Equipamentos!H19</f>
        <v>1312.5</v>
      </c>
      <c r="F87" s="74">
        <f>Equipamentos!H20</f>
        <v>922.4</v>
      </c>
      <c r="G87" s="74">
        <f>Equipamentos!H21</f>
        <v>922.4</v>
      </c>
      <c r="H87" s="74">
        <f>Equipamentos!H23</f>
        <v>1312.5</v>
      </c>
      <c r="I87" s="59">
        <f>Equipamentos!H24</f>
        <v>922.4</v>
      </c>
    </row>
    <row r="88" spans="1:9" s="30" customFormat="1" ht="15.75" customHeight="1" x14ac:dyDescent="0.25">
      <c r="A88" s="47" t="s">
        <v>5</v>
      </c>
      <c r="B88" s="390" t="s">
        <v>137</v>
      </c>
      <c r="C88" s="390"/>
      <c r="D88" s="77">
        <v>0</v>
      </c>
      <c r="E88" s="77">
        <v>0</v>
      </c>
      <c r="F88" s="77">
        <v>0</v>
      </c>
      <c r="G88" s="77">
        <v>0</v>
      </c>
      <c r="H88" s="77">
        <v>0</v>
      </c>
      <c r="I88" s="62">
        <v>0</v>
      </c>
    </row>
    <row r="89" spans="1:9" s="30" customFormat="1" ht="15.75" customHeight="1" x14ac:dyDescent="0.25">
      <c r="A89" s="368" t="s">
        <v>156</v>
      </c>
      <c r="B89" s="369"/>
      <c r="C89" s="369"/>
      <c r="D89" s="65">
        <f t="shared" ref="D89:I89" si="28">SUM(D85:D88)</f>
        <v>1413.94</v>
      </c>
      <c r="E89" s="65">
        <f t="shared" si="28"/>
        <v>1413.94</v>
      </c>
      <c r="F89" s="65">
        <f t="shared" si="28"/>
        <v>1003.59</v>
      </c>
      <c r="G89" s="65">
        <f t="shared" si="28"/>
        <v>1003.59</v>
      </c>
      <c r="H89" s="65">
        <f t="shared" si="28"/>
        <v>1413.94</v>
      </c>
      <c r="I89" s="61">
        <f t="shared" si="28"/>
        <v>1003.59</v>
      </c>
    </row>
    <row r="90" spans="1:9" s="30" customFormat="1" ht="30" customHeight="1" x14ac:dyDescent="0.25">
      <c r="A90" s="389" t="s">
        <v>225</v>
      </c>
      <c r="B90" s="379"/>
      <c r="C90" s="379"/>
      <c r="D90" s="144">
        <f t="shared" ref="D90:I90" si="29">D89+D82+D62+D54+D25</f>
        <v>9493.1200000000008</v>
      </c>
      <c r="E90" s="144">
        <f t="shared" si="29"/>
        <v>9626.56</v>
      </c>
      <c r="F90" s="144">
        <f t="shared" si="29"/>
        <v>9885.31</v>
      </c>
      <c r="G90" s="144">
        <f t="shared" si="29"/>
        <v>9216.2099999999991</v>
      </c>
      <c r="H90" s="144">
        <f t="shared" si="29"/>
        <v>9493.1200000000008</v>
      </c>
      <c r="I90" s="201">
        <f t="shared" si="29"/>
        <v>10105.91</v>
      </c>
    </row>
    <row r="91" spans="1:9" s="30" customFormat="1" ht="19.5" customHeight="1" x14ac:dyDescent="0.25">
      <c r="A91" s="416" t="s">
        <v>165</v>
      </c>
      <c r="B91" s="417"/>
      <c r="C91" s="417"/>
      <c r="D91" s="238"/>
      <c r="E91" s="238"/>
      <c r="F91" s="238"/>
      <c r="G91" s="238"/>
      <c r="H91" s="238"/>
      <c r="I91" s="239"/>
    </row>
    <row r="92" spans="1:9" s="30" customFormat="1" x14ac:dyDescent="0.25">
      <c r="A92" s="251">
        <v>6</v>
      </c>
      <c r="B92" s="376" t="s">
        <v>38</v>
      </c>
      <c r="C92" s="378"/>
      <c r="D92" s="68" t="s">
        <v>10</v>
      </c>
      <c r="E92" s="68" t="s">
        <v>10</v>
      </c>
      <c r="F92" s="68" t="s">
        <v>10</v>
      </c>
      <c r="G92" s="68" t="s">
        <v>10</v>
      </c>
      <c r="H92" s="68" t="s">
        <v>10</v>
      </c>
      <c r="I92" s="152" t="s">
        <v>10</v>
      </c>
    </row>
    <row r="93" spans="1:9" s="30" customFormat="1" x14ac:dyDescent="0.25">
      <c r="A93" s="251" t="s">
        <v>0</v>
      </c>
      <c r="B93" s="50" t="s">
        <v>39</v>
      </c>
      <c r="C93" s="55">
        <v>0.03</v>
      </c>
      <c r="D93" s="77">
        <f>+D90*C93</f>
        <v>284.79000000000002</v>
      </c>
      <c r="E93" s="77">
        <f>+E90*C93</f>
        <v>288.8</v>
      </c>
      <c r="F93" s="77">
        <f>+F90*C93</f>
        <v>296.56</v>
      </c>
      <c r="G93" s="77">
        <f>+G90*C93</f>
        <v>276.49</v>
      </c>
      <c r="H93" s="77">
        <f>+H90*C93</f>
        <v>284.79000000000002</v>
      </c>
      <c r="I93" s="62">
        <f>+I90*C93</f>
        <v>303.18</v>
      </c>
    </row>
    <row r="94" spans="1:9" s="30" customFormat="1" x14ac:dyDescent="0.25">
      <c r="A94" s="251" t="s">
        <v>2</v>
      </c>
      <c r="B94" s="50" t="s">
        <v>40</v>
      </c>
      <c r="C94" s="55">
        <v>6.7900000000000002E-2</v>
      </c>
      <c r="D94" s="77">
        <f>C94*(+D90+D93)</f>
        <v>663.92</v>
      </c>
      <c r="E94" s="77">
        <f>C94*(+E90+E93)</f>
        <v>673.25</v>
      </c>
      <c r="F94" s="77">
        <f>C94*(+F90+F93)</f>
        <v>691.35</v>
      </c>
      <c r="G94" s="77">
        <f>C94*(+G90+G93)</f>
        <v>644.54999999999995</v>
      </c>
      <c r="H94" s="77">
        <f>C94*(+H90+H93)</f>
        <v>663.92</v>
      </c>
      <c r="I94" s="62">
        <f>C94*(+I90+I93)</f>
        <v>706.78</v>
      </c>
    </row>
    <row r="95" spans="1:9" s="30" customFormat="1" ht="31.5" x14ac:dyDescent="0.25">
      <c r="A95" s="384" t="s">
        <v>3</v>
      </c>
      <c r="B95" s="50" t="s">
        <v>50</v>
      </c>
      <c r="C95" s="55">
        <f>1-C103</f>
        <v>0.85750000000000004</v>
      </c>
      <c r="D95" s="77">
        <f t="shared" ref="D95:I95" si="30">+D90+D93+D94</f>
        <v>10441.83</v>
      </c>
      <c r="E95" s="77">
        <f t="shared" si="30"/>
        <v>10588.61</v>
      </c>
      <c r="F95" s="77">
        <f t="shared" si="30"/>
        <v>10873.22</v>
      </c>
      <c r="G95" s="77">
        <f t="shared" si="30"/>
        <v>10137.25</v>
      </c>
      <c r="H95" s="77">
        <f t="shared" si="30"/>
        <v>10441.83</v>
      </c>
      <c r="I95" s="62">
        <f t="shared" si="30"/>
        <v>11115.87</v>
      </c>
    </row>
    <row r="96" spans="1:9" s="30" customFormat="1" x14ac:dyDescent="0.25">
      <c r="A96" s="384"/>
      <c r="B96" s="254" t="s">
        <v>41</v>
      </c>
      <c r="C96" s="88"/>
      <c r="D96" s="145">
        <f>+D95/C95</f>
        <v>12177.06</v>
      </c>
      <c r="E96" s="145">
        <f>+E95/C95</f>
        <v>12348.23</v>
      </c>
      <c r="F96" s="145">
        <f>+F95/C95</f>
        <v>12680.14</v>
      </c>
      <c r="G96" s="145">
        <f>+G95/C95</f>
        <v>11821.87</v>
      </c>
      <c r="H96" s="145">
        <f>+H95/C95</f>
        <v>12177.06</v>
      </c>
      <c r="I96" s="202">
        <f>+I95/C95</f>
        <v>12963.11</v>
      </c>
    </row>
    <row r="97" spans="1:9" s="30" customFormat="1" x14ac:dyDescent="0.25">
      <c r="A97" s="384"/>
      <c r="B97" s="254" t="s">
        <v>42</v>
      </c>
      <c r="C97" s="254"/>
      <c r="D97" s="77"/>
      <c r="E97" s="77"/>
      <c r="F97" s="77"/>
      <c r="G97" s="77"/>
      <c r="H97" s="77"/>
      <c r="I97" s="62"/>
    </row>
    <row r="98" spans="1:9" s="30" customFormat="1" x14ac:dyDescent="0.25">
      <c r="A98" s="384"/>
      <c r="B98" s="50" t="s">
        <v>130</v>
      </c>
      <c r="C98" s="55">
        <v>1.6500000000000001E-2</v>
      </c>
      <c r="D98" s="77">
        <f>+D96*C98</f>
        <v>200.92</v>
      </c>
      <c r="E98" s="77">
        <f>+E96*C98</f>
        <v>203.75</v>
      </c>
      <c r="F98" s="77">
        <f>+F96*C98</f>
        <v>209.22</v>
      </c>
      <c r="G98" s="77">
        <f>+G96*C98</f>
        <v>195.06</v>
      </c>
      <c r="H98" s="77">
        <f>+H96*C98</f>
        <v>200.92</v>
      </c>
      <c r="I98" s="62">
        <f>+I96*C98</f>
        <v>213.89</v>
      </c>
    </row>
    <row r="99" spans="1:9" s="30" customFormat="1" x14ac:dyDescent="0.25">
      <c r="A99" s="384"/>
      <c r="B99" s="50" t="s">
        <v>131</v>
      </c>
      <c r="C99" s="55">
        <v>7.5999999999999998E-2</v>
      </c>
      <c r="D99" s="77">
        <f>+D96*C99</f>
        <v>925.46</v>
      </c>
      <c r="E99" s="77">
        <f>+E96*C99</f>
        <v>938.47</v>
      </c>
      <c r="F99" s="77">
        <f>+F96*C99</f>
        <v>963.69</v>
      </c>
      <c r="G99" s="77">
        <f>+G96*C99</f>
        <v>898.46</v>
      </c>
      <c r="H99" s="77">
        <f>+H96*C99</f>
        <v>925.46</v>
      </c>
      <c r="I99" s="62">
        <f>+I96*C99</f>
        <v>985.2</v>
      </c>
    </row>
    <row r="100" spans="1:9" s="30" customFormat="1" x14ac:dyDescent="0.25">
      <c r="A100" s="384"/>
      <c r="B100" s="51" t="s">
        <v>43</v>
      </c>
      <c r="C100" s="88"/>
      <c r="D100" s="77"/>
      <c r="E100" s="77"/>
      <c r="F100" s="77"/>
      <c r="G100" s="77"/>
      <c r="H100" s="77"/>
      <c r="I100" s="62"/>
    </row>
    <row r="101" spans="1:9" s="30" customFormat="1" x14ac:dyDescent="0.25">
      <c r="A101" s="384"/>
      <c r="B101" s="51" t="s">
        <v>44</v>
      </c>
      <c r="C101" s="94"/>
      <c r="D101" s="77"/>
      <c r="E101" s="77"/>
      <c r="F101" s="77"/>
      <c r="G101" s="77"/>
      <c r="H101" s="77"/>
      <c r="I101" s="62"/>
    </row>
    <row r="102" spans="1:9" s="30" customFormat="1" x14ac:dyDescent="0.25">
      <c r="A102" s="384"/>
      <c r="B102" s="50" t="s">
        <v>142</v>
      </c>
      <c r="C102" s="55">
        <v>0.05</v>
      </c>
      <c r="D102" s="77">
        <f>+D96*C102</f>
        <v>608.85</v>
      </c>
      <c r="E102" s="77">
        <f>+E96*C102</f>
        <v>617.41</v>
      </c>
      <c r="F102" s="77">
        <f>+F96*C102</f>
        <v>634.01</v>
      </c>
      <c r="G102" s="77">
        <f>+G96*C102</f>
        <v>591.09</v>
      </c>
      <c r="H102" s="77">
        <f>+H96*C102</f>
        <v>608.85</v>
      </c>
      <c r="I102" s="62">
        <f>+I96*C102</f>
        <v>648.16</v>
      </c>
    </row>
    <row r="103" spans="1:9" s="30" customFormat="1" x14ac:dyDescent="0.25">
      <c r="A103" s="251"/>
      <c r="B103" s="98" t="s">
        <v>45</v>
      </c>
      <c r="C103" s="99">
        <f t="shared" ref="C103:I103" si="31">SUM(C98:C102)</f>
        <v>0.14249999999999999</v>
      </c>
      <c r="D103" s="100">
        <f t="shared" si="31"/>
        <v>1735.23</v>
      </c>
      <c r="E103" s="100">
        <f t="shared" si="31"/>
        <v>1759.63</v>
      </c>
      <c r="F103" s="100">
        <f t="shared" si="31"/>
        <v>1806.92</v>
      </c>
      <c r="G103" s="100">
        <f t="shared" si="31"/>
        <v>1684.61</v>
      </c>
      <c r="H103" s="100">
        <f t="shared" si="31"/>
        <v>1735.23</v>
      </c>
      <c r="I103" s="170">
        <f t="shared" si="31"/>
        <v>1847.25</v>
      </c>
    </row>
    <row r="104" spans="1:9" s="30" customFormat="1" ht="15.75" customHeight="1" x14ac:dyDescent="0.25">
      <c r="A104" s="366" t="s">
        <v>46</v>
      </c>
      <c r="B104" s="367"/>
      <c r="C104" s="367"/>
      <c r="D104" s="79">
        <f t="shared" ref="D104:I104" si="32">+D93+D94+D103</f>
        <v>2683.94</v>
      </c>
      <c r="E104" s="79">
        <f t="shared" si="32"/>
        <v>2721.68</v>
      </c>
      <c r="F104" s="79">
        <f t="shared" si="32"/>
        <v>2794.83</v>
      </c>
      <c r="G104" s="79">
        <f t="shared" si="32"/>
        <v>2605.65</v>
      </c>
      <c r="H104" s="79">
        <f t="shared" si="32"/>
        <v>2683.94</v>
      </c>
      <c r="I104" s="63">
        <f t="shared" si="32"/>
        <v>2857.21</v>
      </c>
    </row>
    <row r="105" spans="1:9" s="30" customFormat="1" ht="15.75" customHeight="1" x14ac:dyDescent="0.25">
      <c r="A105" s="424" t="s">
        <v>47</v>
      </c>
      <c r="B105" s="425"/>
      <c r="C105" s="425"/>
      <c r="D105" s="146" t="s">
        <v>10</v>
      </c>
      <c r="E105" s="146" t="s">
        <v>10</v>
      </c>
      <c r="F105" s="146" t="s">
        <v>10</v>
      </c>
      <c r="G105" s="146" t="s">
        <v>10</v>
      </c>
      <c r="H105" s="146" t="s">
        <v>10</v>
      </c>
      <c r="I105" s="243" t="s">
        <v>10</v>
      </c>
    </row>
    <row r="106" spans="1:9" s="30" customFormat="1" x14ac:dyDescent="0.25">
      <c r="A106" s="49" t="s">
        <v>0</v>
      </c>
      <c r="B106" s="387" t="s">
        <v>48</v>
      </c>
      <c r="C106" s="387"/>
      <c r="D106" s="77">
        <f t="shared" ref="D106:I106" si="33">+D25</f>
        <v>4234.92</v>
      </c>
      <c r="E106" s="77">
        <f t="shared" si="33"/>
        <v>4234.92</v>
      </c>
      <c r="F106" s="77">
        <f t="shared" si="33"/>
        <v>4817.37</v>
      </c>
      <c r="G106" s="77">
        <f t="shared" si="33"/>
        <v>4234.92</v>
      </c>
      <c r="H106" s="77">
        <f t="shared" si="33"/>
        <v>4234.92</v>
      </c>
      <c r="I106" s="62">
        <f t="shared" si="33"/>
        <v>4817.37</v>
      </c>
    </row>
    <row r="107" spans="1:9" s="30" customFormat="1" x14ac:dyDescent="0.25">
      <c r="A107" s="49" t="s">
        <v>2</v>
      </c>
      <c r="B107" s="387" t="s">
        <v>159</v>
      </c>
      <c r="C107" s="387"/>
      <c r="D107" s="77">
        <f t="shared" ref="D107:I107" si="34">+D54</f>
        <v>3311.97</v>
      </c>
      <c r="E107" s="77">
        <f t="shared" si="34"/>
        <v>3441.64</v>
      </c>
      <c r="F107" s="77">
        <f t="shared" si="34"/>
        <v>3467.72</v>
      </c>
      <c r="G107" s="77">
        <f t="shared" si="34"/>
        <v>3441.64</v>
      </c>
      <c r="H107" s="77">
        <f t="shared" si="34"/>
        <v>3311.97</v>
      </c>
      <c r="I107" s="62">
        <f t="shared" si="34"/>
        <v>3682.08</v>
      </c>
    </row>
    <row r="108" spans="1:9" s="30" customFormat="1" x14ac:dyDescent="0.25">
      <c r="A108" s="49" t="s">
        <v>3</v>
      </c>
      <c r="B108" s="387" t="s">
        <v>157</v>
      </c>
      <c r="C108" s="387"/>
      <c r="D108" s="77">
        <f t="shared" ref="D108:I108" si="35">D62</f>
        <v>302.8</v>
      </c>
      <c r="E108" s="77">
        <f t="shared" si="35"/>
        <v>302.8</v>
      </c>
      <c r="F108" s="77">
        <f t="shared" si="35"/>
        <v>344.44</v>
      </c>
      <c r="G108" s="77">
        <f t="shared" si="35"/>
        <v>302.8</v>
      </c>
      <c r="H108" s="77">
        <f t="shared" si="35"/>
        <v>302.8</v>
      </c>
      <c r="I108" s="62">
        <f t="shared" si="35"/>
        <v>344.44</v>
      </c>
    </row>
    <row r="109" spans="1:9" s="30" customFormat="1" x14ac:dyDescent="0.25">
      <c r="A109" s="49" t="s">
        <v>5</v>
      </c>
      <c r="B109" s="387" t="s">
        <v>150</v>
      </c>
      <c r="C109" s="387"/>
      <c r="D109" s="77">
        <f t="shared" ref="D109:I109" si="36">D82</f>
        <v>229.49</v>
      </c>
      <c r="E109" s="77">
        <f t="shared" si="36"/>
        <v>233.26</v>
      </c>
      <c r="F109" s="77">
        <f t="shared" si="36"/>
        <v>252.19</v>
      </c>
      <c r="G109" s="77">
        <f t="shared" si="36"/>
        <v>233.26</v>
      </c>
      <c r="H109" s="77">
        <f t="shared" si="36"/>
        <v>229.49</v>
      </c>
      <c r="I109" s="62">
        <f t="shared" si="36"/>
        <v>258.43</v>
      </c>
    </row>
    <row r="110" spans="1:9" s="30" customFormat="1" x14ac:dyDescent="0.25">
      <c r="A110" s="49" t="s">
        <v>20</v>
      </c>
      <c r="B110" s="387" t="s">
        <v>158</v>
      </c>
      <c r="C110" s="387"/>
      <c r="D110" s="77">
        <f t="shared" ref="D110:I110" si="37">D89</f>
        <v>1413.94</v>
      </c>
      <c r="E110" s="77">
        <f t="shared" si="37"/>
        <v>1413.94</v>
      </c>
      <c r="F110" s="77">
        <f t="shared" si="37"/>
        <v>1003.59</v>
      </c>
      <c r="G110" s="77">
        <f t="shared" si="37"/>
        <v>1003.59</v>
      </c>
      <c r="H110" s="77">
        <f t="shared" si="37"/>
        <v>1413.94</v>
      </c>
      <c r="I110" s="62">
        <f t="shared" si="37"/>
        <v>1003.59</v>
      </c>
    </row>
    <row r="111" spans="1:9" s="30" customFormat="1" ht="15.75" customHeight="1" x14ac:dyDescent="0.25">
      <c r="A111" s="384" t="s">
        <v>160</v>
      </c>
      <c r="B111" s="388"/>
      <c r="C111" s="388"/>
      <c r="D111" s="100">
        <f t="shared" ref="D111:I111" si="38">SUM(D106:D110)</f>
        <v>9493.1200000000008</v>
      </c>
      <c r="E111" s="100">
        <f t="shared" si="38"/>
        <v>9626.56</v>
      </c>
      <c r="F111" s="100">
        <f t="shared" si="38"/>
        <v>9885.31</v>
      </c>
      <c r="G111" s="100">
        <f t="shared" si="38"/>
        <v>9216.2099999999991</v>
      </c>
      <c r="H111" s="100">
        <f t="shared" si="38"/>
        <v>9493.1200000000008</v>
      </c>
      <c r="I111" s="170">
        <f t="shared" si="38"/>
        <v>10105.91</v>
      </c>
    </row>
    <row r="112" spans="1:9" s="30" customFormat="1" x14ac:dyDescent="0.25">
      <c r="A112" s="251" t="s">
        <v>20</v>
      </c>
      <c r="B112" s="387" t="s">
        <v>161</v>
      </c>
      <c r="C112" s="387"/>
      <c r="D112" s="77">
        <f t="shared" ref="D112:I112" si="39">+D104</f>
        <v>2683.94</v>
      </c>
      <c r="E112" s="77">
        <f t="shared" si="39"/>
        <v>2721.68</v>
      </c>
      <c r="F112" s="77">
        <f t="shared" si="39"/>
        <v>2794.83</v>
      </c>
      <c r="G112" s="77">
        <f t="shared" si="39"/>
        <v>2605.65</v>
      </c>
      <c r="H112" s="77">
        <f t="shared" si="39"/>
        <v>2683.94</v>
      </c>
      <c r="I112" s="62">
        <f t="shared" si="39"/>
        <v>2857.21</v>
      </c>
    </row>
    <row r="113" spans="1:9" s="30" customFormat="1" ht="16.5" customHeight="1" thickBot="1" x14ac:dyDescent="0.3">
      <c r="A113" s="381" t="s">
        <v>49</v>
      </c>
      <c r="B113" s="382"/>
      <c r="C113" s="382"/>
      <c r="D113" s="147">
        <f t="shared" ref="D113:I113" si="40">+D111+D112</f>
        <v>12177.06</v>
      </c>
      <c r="E113" s="147">
        <f t="shared" si="40"/>
        <v>12348.24</v>
      </c>
      <c r="F113" s="147">
        <f t="shared" si="40"/>
        <v>12680.14</v>
      </c>
      <c r="G113" s="147">
        <f t="shared" si="40"/>
        <v>11821.86</v>
      </c>
      <c r="H113" s="147">
        <f t="shared" si="40"/>
        <v>12177.06</v>
      </c>
      <c r="I113" s="203">
        <f t="shared" si="40"/>
        <v>12963.12</v>
      </c>
    </row>
    <row r="114" spans="1:9" x14ac:dyDescent="0.25">
      <c r="C114" s="31"/>
      <c r="D114" s="31"/>
      <c r="E114" s="31"/>
      <c r="F114" s="31"/>
      <c r="G114" s="33"/>
    </row>
    <row r="115" spans="1:9" x14ac:dyDescent="0.25">
      <c r="B115" s="28"/>
      <c r="C115" s="31"/>
      <c r="D115" s="31"/>
      <c r="E115" s="31"/>
      <c r="F115" s="31"/>
      <c r="G115" s="34"/>
    </row>
    <row r="116" spans="1:9" x14ac:dyDescent="0.25">
      <c r="B116" s="28"/>
      <c r="C116" s="31"/>
      <c r="D116" s="31"/>
      <c r="E116" s="31"/>
      <c r="F116" s="31"/>
      <c r="G116" s="34" t="s">
        <v>129</v>
      </c>
    </row>
    <row r="117" spans="1:9" x14ac:dyDescent="0.25">
      <c r="B117" s="28"/>
      <c r="C117" s="383"/>
      <c r="D117" s="383"/>
      <c r="E117" s="383"/>
      <c r="F117" s="383"/>
      <c r="G117" s="383"/>
    </row>
    <row r="118" spans="1:9" x14ac:dyDescent="0.25">
      <c r="B118" s="28"/>
      <c r="C118" s="31"/>
      <c r="D118" s="31"/>
      <c r="E118" s="31"/>
      <c r="F118" s="31"/>
      <c r="G118" s="35"/>
    </row>
    <row r="120" spans="1:9" x14ac:dyDescent="0.25">
      <c r="B120" s="36"/>
    </row>
    <row r="125" spans="1:9" x14ac:dyDescent="0.25">
      <c r="B125" s="28"/>
    </row>
  </sheetData>
  <mergeCells count="70">
    <mergeCell ref="B12:C12"/>
    <mergeCell ref="B13:C13"/>
    <mergeCell ref="B14:C14"/>
    <mergeCell ref="B15:C15"/>
    <mergeCell ref="D12:I12"/>
    <mergeCell ref="D13:F13"/>
    <mergeCell ref="G13:I13"/>
    <mergeCell ref="D14:I14"/>
    <mergeCell ref="D15:I15"/>
    <mergeCell ref="D11:I11"/>
    <mergeCell ref="C6:I6"/>
    <mergeCell ref="C7:I7"/>
    <mergeCell ref="A8:I8"/>
    <mergeCell ref="A9:I9"/>
    <mergeCell ref="A10:I10"/>
    <mergeCell ref="A1:I1"/>
    <mergeCell ref="A2:I2"/>
    <mergeCell ref="A3:I3"/>
    <mergeCell ref="C4:I4"/>
    <mergeCell ref="C5:I5"/>
    <mergeCell ref="A76:C76"/>
    <mergeCell ref="A77:C77"/>
    <mergeCell ref="A83:C83"/>
    <mergeCell ref="A91:C91"/>
    <mergeCell ref="A26:C26"/>
    <mergeCell ref="A42:C42"/>
    <mergeCell ref="A50:C50"/>
    <mergeCell ref="A55:C55"/>
    <mergeCell ref="A63:C63"/>
    <mergeCell ref="B56:C56"/>
    <mergeCell ref="A62:C62"/>
    <mergeCell ref="A82:C82"/>
    <mergeCell ref="B78:C78"/>
    <mergeCell ref="A81:B81"/>
    <mergeCell ref="A31:I31"/>
    <mergeCell ref="A16:C16"/>
    <mergeCell ref="B17:C17"/>
    <mergeCell ref="A11:C11"/>
    <mergeCell ref="B88:C88"/>
    <mergeCell ref="A25:C25"/>
    <mergeCell ref="B27:C27"/>
    <mergeCell ref="A30:B30"/>
    <mergeCell ref="B73:C73"/>
    <mergeCell ref="A75:B75"/>
    <mergeCell ref="B32:C32"/>
    <mergeCell ref="A41:B41"/>
    <mergeCell ref="A49:C49"/>
    <mergeCell ref="B43:C43"/>
    <mergeCell ref="A71:B71"/>
    <mergeCell ref="A54:C54"/>
    <mergeCell ref="B64:C64"/>
    <mergeCell ref="C117:G117"/>
    <mergeCell ref="A95:A102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B92:C92"/>
    <mergeCell ref="B86:C86"/>
    <mergeCell ref="B87:C87"/>
    <mergeCell ref="B84:C84"/>
    <mergeCell ref="A89:C89"/>
    <mergeCell ref="A90:C90"/>
    <mergeCell ref="B85:C85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view="pageBreakPreview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3" width="15.7109375" style="32" customWidth="1"/>
    <col min="4" max="5" width="16.7109375" style="32" customWidth="1"/>
    <col min="6" max="6" width="16.7109375" style="37" customWidth="1"/>
    <col min="7" max="7" width="16.7109375" style="28" customWidth="1"/>
    <col min="8" max="16384" width="9.140625" style="28"/>
  </cols>
  <sheetData>
    <row r="1" spans="1:7" x14ac:dyDescent="0.25">
      <c r="A1" s="391"/>
      <c r="B1" s="392"/>
      <c r="C1" s="392"/>
      <c r="D1" s="392"/>
      <c r="E1" s="392"/>
      <c r="F1" s="392"/>
      <c r="G1" s="393"/>
    </row>
    <row r="2" spans="1:7" s="38" customFormat="1" ht="16.5" customHeight="1" x14ac:dyDescent="0.25">
      <c r="A2" s="394" t="s">
        <v>132</v>
      </c>
      <c r="B2" s="395"/>
      <c r="C2" s="395"/>
      <c r="D2" s="395"/>
      <c r="E2" s="395"/>
      <c r="F2" s="395"/>
      <c r="G2" s="396"/>
    </row>
    <row r="3" spans="1:7" s="38" customFormat="1" x14ac:dyDescent="0.25">
      <c r="A3" s="397" t="s">
        <v>129</v>
      </c>
      <c r="B3" s="398"/>
      <c r="C3" s="398"/>
      <c r="D3" s="398"/>
      <c r="E3" s="398"/>
      <c r="F3" s="398"/>
      <c r="G3" s="399"/>
    </row>
    <row r="4" spans="1:7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0"/>
      <c r="G4" s="401"/>
    </row>
    <row r="5" spans="1:7" s="38" customFormat="1" ht="60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2"/>
      <c r="G5" s="403"/>
    </row>
    <row r="6" spans="1:7" s="38" customFormat="1" ht="15.75" customHeight="1" x14ac:dyDescent="0.25">
      <c r="A6" s="40" t="s">
        <v>3</v>
      </c>
      <c r="B6" s="41" t="s">
        <v>4</v>
      </c>
      <c r="C6" s="402" t="s">
        <v>242</v>
      </c>
      <c r="D6" s="402"/>
      <c r="E6" s="402"/>
      <c r="F6" s="402"/>
      <c r="G6" s="403"/>
    </row>
    <row r="7" spans="1:7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2"/>
      <c r="G7" s="403"/>
    </row>
    <row r="8" spans="1:7" s="38" customFormat="1" x14ac:dyDescent="0.25">
      <c r="A8" s="397" t="s">
        <v>6</v>
      </c>
      <c r="B8" s="398"/>
      <c r="C8" s="398"/>
      <c r="D8" s="398"/>
      <c r="E8" s="398"/>
      <c r="F8" s="398"/>
      <c r="G8" s="399"/>
    </row>
    <row r="9" spans="1:7" s="38" customFormat="1" x14ac:dyDescent="0.25">
      <c r="A9" s="397" t="s">
        <v>7</v>
      </c>
      <c r="B9" s="398"/>
      <c r="C9" s="398"/>
      <c r="D9" s="398"/>
      <c r="E9" s="398"/>
      <c r="F9" s="398"/>
      <c r="G9" s="399"/>
    </row>
    <row r="10" spans="1:7" s="38" customFormat="1" ht="15.75" customHeight="1" x14ac:dyDescent="0.25">
      <c r="A10" s="397" t="s">
        <v>8</v>
      </c>
      <c r="B10" s="398"/>
      <c r="C10" s="398"/>
      <c r="D10" s="398"/>
      <c r="E10" s="398"/>
      <c r="F10" s="398"/>
      <c r="G10" s="399"/>
    </row>
    <row r="11" spans="1:7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4"/>
      <c r="G11" s="435"/>
    </row>
    <row r="12" spans="1:7" s="38" customFormat="1" ht="45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4"/>
      <c r="G12" s="415"/>
    </row>
    <row r="13" spans="1:7" s="38" customFormat="1" ht="30" customHeight="1" x14ac:dyDescent="0.25">
      <c r="A13" s="40">
        <v>2</v>
      </c>
      <c r="B13" s="42" t="s">
        <v>11</v>
      </c>
      <c r="C13" s="447">
        <v>3325</v>
      </c>
      <c r="D13" s="447"/>
      <c r="E13" s="447"/>
      <c r="F13" s="447"/>
      <c r="G13" s="448"/>
    </row>
    <row r="14" spans="1:7" s="38" customFormat="1" ht="15.75" customHeight="1" x14ac:dyDescent="0.25">
      <c r="A14" s="40">
        <v>3</v>
      </c>
      <c r="B14" s="42" t="s">
        <v>12</v>
      </c>
      <c r="C14" s="414" t="s">
        <v>237</v>
      </c>
      <c r="D14" s="414"/>
      <c r="E14" s="414"/>
      <c r="F14" s="414"/>
      <c r="G14" s="415"/>
    </row>
    <row r="15" spans="1:7" s="38" customFormat="1" x14ac:dyDescent="0.25">
      <c r="A15" s="40">
        <v>4</v>
      </c>
      <c r="B15" s="43" t="s">
        <v>13</v>
      </c>
      <c r="C15" s="404"/>
      <c r="D15" s="404"/>
      <c r="E15" s="404"/>
      <c r="F15" s="404"/>
      <c r="G15" s="405"/>
    </row>
    <row r="16" spans="1:7" s="39" customFormat="1" x14ac:dyDescent="0.25">
      <c r="A16" s="370" t="s">
        <v>14</v>
      </c>
      <c r="B16" s="371"/>
      <c r="C16" s="371"/>
      <c r="D16" s="245" t="s">
        <v>301</v>
      </c>
      <c r="E16" s="247" t="s">
        <v>272</v>
      </c>
      <c r="F16" s="245" t="s">
        <v>301</v>
      </c>
      <c r="G16" s="262" t="s">
        <v>312</v>
      </c>
    </row>
    <row r="17" spans="1:7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7" t="s">
        <v>10</v>
      </c>
      <c r="G17" s="58" t="s">
        <v>10</v>
      </c>
    </row>
    <row r="18" spans="1:7" s="38" customFormat="1" ht="15.75" customHeight="1" x14ac:dyDescent="0.25">
      <c r="A18" s="44" t="s">
        <v>0</v>
      </c>
      <c r="B18" s="45" t="s">
        <v>16</v>
      </c>
      <c r="C18" s="43"/>
      <c r="D18" s="74">
        <f>C13</f>
        <v>3325</v>
      </c>
      <c r="E18" s="74">
        <f>C13</f>
        <v>3325</v>
      </c>
      <c r="F18" s="74">
        <f>C13</f>
        <v>3325</v>
      </c>
      <c r="G18" s="59">
        <f>C13</f>
        <v>3325</v>
      </c>
    </row>
    <row r="19" spans="1:7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76"/>
      <c r="G19" s="60"/>
    </row>
    <row r="20" spans="1:7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2">
        <f>40%*1412</f>
        <v>564.79999999999995</v>
      </c>
      <c r="E20" s="76">
        <f>40%*1412</f>
        <v>564.79999999999995</v>
      </c>
      <c r="F20" s="72">
        <f>40%*1412</f>
        <v>564.79999999999995</v>
      </c>
      <c r="G20" s="157">
        <f>40%*1412</f>
        <v>564.79999999999995</v>
      </c>
    </row>
    <row r="21" spans="1:7" s="38" customFormat="1" ht="15.75" customHeight="1" x14ac:dyDescent="0.25">
      <c r="A21" s="44" t="s">
        <v>5</v>
      </c>
      <c r="B21" s="45" t="s">
        <v>19</v>
      </c>
      <c r="C21" s="75"/>
      <c r="D21" s="76"/>
      <c r="E21" s="76"/>
      <c r="F21" s="76"/>
      <c r="G21" s="60"/>
    </row>
    <row r="22" spans="1:7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76"/>
      <c r="G22" s="60"/>
    </row>
    <row r="23" spans="1:7" s="38" customFormat="1" x14ac:dyDescent="0.25">
      <c r="A23" s="44" t="s">
        <v>21</v>
      </c>
      <c r="B23" s="45" t="s">
        <v>138</v>
      </c>
      <c r="C23" s="48"/>
      <c r="D23" s="76"/>
      <c r="E23" s="76"/>
      <c r="F23" s="76"/>
      <c r="G23" s="60"/>
    </row>
    <row r="24" spans="1:7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76"/>
      <c r="G24" s="60"/>
    </row>
    <row r="25" spans="1:7" s="39" customFormat="1" ht="15.75" customHeight="1" x14ac:dyDescent="0.25">
      <c r="A25" s="368" t="s">
        <v>152</v>
      </c>
      <c r="B25" s="369"/>
      <c r="C25" s="369"/>
      <c r="D25" s="65">
        <f>SUM(D18:D24)</f>
        <v>3889.8</v>
      </c>
      <c r="E25" s="65">
        <f>SUM(E18:E24)</f>
        <v>3889.8</v>
      </c>
      <c r="F25" s="65">
        <f>SUM(F18:F24)</f>
        <v>3889.8</v>
      </c>
      <c r="G25" s="61">
        <f>SUM(G18:G24)</f>
        <v>3889.8</v>
      </c>
    </row>
    <row r="26" spans="1:7" s="39" customFormat="1" x14ac:dyDescent="0.25">
      <c r="A26" s="416" t="s">
        <v>51</v>
      </c>
      <c r="B26" s="417"/>
      <c r="C26" s="417"/>
      <c r="D26" s="238"/>
      <c r="E26" s="238"/>
      <c r="F26" s="238"/>
      <c r="G26" s="239"/>
    </row>
    <row r="27" spans="1:7" s="38" customFormat="1" x14ac:dyDescent="0.25">
      <c r="A27" s="251" t="s">
        <v>141</v>
      </c>
      <c r="B27" s="376" t="s">
        <v>205</v>
      </c>
      <c r="C27" s="378"/>
      <c r="D27" s="68" t="s">
        <v>10</v>
      </c>
      <c r="E27" s="68" t="s">
        <v>10</v>
      </c>
      <c r="F27" s="68" t="s">
        <v>10</v>
      </c>
      <c r="G27" s="152" t="s">
        <v>10</v>
      </c>
    </row>
    <row r="28" spans="1:7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324.02</v>
      </c>
      <c r="E28" s="77">
        <f>(E25)*C28</f>
        <v>324.02</v>
      </c>
      <c r="F28" s="77">
        <f>(F25)*C28</f>
        <v>324.02</v>
      </c>
      <c r="G28" s="62">
        <f>(G25)*C28</f>
        <v>324.02</v>
      </c>
    </row>
    <row r="29" spans="1:7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432.16</v>
      </c>
      <c r="E29" s="77">
        <f>(E25)*C29</f>
        <v>432.16</v>
      </c>
      <c r="F29" s="77">
        <f>(F25)*C29</f>
        <v>432.16</v>
      </c>
      <c r="G29" s="62">
        <f>(G25)*C29</f>
        <v>432.16</v>
      </c>
    </row>
    <row r="30" spans="1:7" x14ac:dyDescent="0.25">
      <c r="A30" s="366" t="s">
        <v>27</v>
      </c>
      <c r="B30" s="367"/>
      <c r="C30" s="91">
        <f>SUM(C28:C29)</f>
        <v>0.19439999999999999</v>
      </c>
      <c r="D30" s="79">
        <f>SUM(D28:D29)</f>
        <v>756.18</v>
      </c>
      <c r="E30" s="79">
        <f>SUM(E28:E29)</f>
        <v>756.18</v>
      </c>
      <c r="F30" s="79">
        <f>SUM(F28:F29)</f>
        <v>756.18</v>
      </c>
      <c r="G30" s="63">
        <f>SUM(G28:G29)</f>
        <v>756.18</v>
      </c>
    </row>
    <row r="31" spans="1:7" ht="32.25" customHeight="1" x14ac:dyDescent="0.25">
      <c r="A31" s="444" t="s">
        <v>190</v>
      </c>
      <c r="B31" s="445"/>
      <c r="C31" s="445"/>
      <c r="D31" s="445"/>
      <c r="E31" s="445"/>
      <c r="F31" s="445"/>
      <c r="G31" s="446"/>
    </row>
    <row r="32" spans="1:7" x14ac:dyDescent="0.25">
      <c r="A32" s="246" t="s">
        <v>141</v>
      </c>
      <c r="B32" s="428" t="s">
        <v>25</v>
      </c>
      <c r="C32" s="429"/>
      <c r="D32" s="259"/>
      <c r="E32" s="69"/>
      <c r="F32" s="259"/>
      <c r="G32" s="162"/>
    </row>
    <row r="33" spans="1:7" x14ac:dyDescent="0.25">
      <c r="A33" s="49" t="s">
        <v>0</v>
      </c>
      <c r="B33" s="80" t="s">
        <v>207</v>
      </c>
      <c r="C33" s="55">
        <v>0.2</v>
      </c>
      <c r="D33" s="77">
        <f t="shared" ref="D33:D40" si="0">($E$25+D$30)*C33</f>
        <v>929.2</v>
      </c>
      <c r="E33" s="77">
        <f t="shared" ref="E33:E40" si="1">($E$25+E$30)*C33</f>
        <v>929.2</v>
      </c>
      <c r="F33" s="77">
        <f t="shared" ref="F33:F40" si="2">($E$25+F$30)*C33</f>
        <v>929.2</v>
      </c>
      <c r="G33" s="62">
        <f t="shared" ref="G33:G40" si="3">($G$25+G$30)*C33</f>
        <v>929.2</v>
      </c>
    </row>
    <row r="34" spans="1:7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69.69</v>
      </c>
      <c r="E34" s="77">
        <f t="shared" si="1"/>
        <v>69.69</v>
      </c>
      <c r="F34" s="77">
        <f t="shared" si="2"/>
        <v>69.69</v>
      </c>
      <c r="G34" s="62">
        <f t="shared" si="3"/>
        <v>69.69</v>
      </c>
    </row>
    <row r="35" spans="1:7" x14ac:dyDescent="0.25">
      <c r="A35" s="49" t="s">
        <v>3</v>
      </c>
      <c r="B35" s="80" t="s">
        <v>209</v>
      </c>
      <c r="C35" s="81">
        <v>0.01</v>
      </c>
      <c r="D35" s="77">
        <f t="shared" si="0"/>
        <v>46.46</v>
      </c>
      <c r="E35" s="77">
        <f t="shared" si="1"/>
        <v>46.46</v>
      </c>
      <c r="F35" s="77">
        <f t="shared" si="2"/>
        <v>46.46</v>
      </c>
      <c r="G35" s="62">
        <f t="shared" si="3"/>
        <v>46.46</v>
      </c>
    </row>
    <row r="36" spans="1:7" ht="31.5" x14ac:dyDescent="0.25">
      <c r="A36" s="49" t="s">
        <v>5</v>
      </c>
      <c r="B36" s="249" t="s">
        <v>210</v>
      </c>
      <c r="C36" s="81">
        <v>2E-3</v>
      </c>
      <c r="D36" s="77">
        <f t="shared" si="0"/>
        <v>9.2899999999999991</v>
      </c>
      <c r="E36" s="77">
        <f t="shared" si="1"/>
        <v>9.2899999999999991</v>
      </c>
      <c r="F36" s="77">
        <f t="shared" si="2"/>
        <v>9.2899999999999991</v>
      </c>
      <c r="G36" s="62">
        <f t="shared" si="3"/>
        <v>9.2899999999999991</v>
      </c>
    </row>
    <row r="37" spans="1:7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116.15</v>
      </c>
      <c r="E37" s="77">
        <f t="shared" si="1"/>
        <v>116.15</v>
      </c>
      <c r="F37" s="77">
        <f t="shared" si="2"/>
        <v>116.15</v>
      </c>
      <c r="G37" s="62">
        <f t="shared" si="3"/>
        <v>116.15</v>
      </c>
    </row>
    <row r="38" spans="1:7" x14ac:dyDescent="0.25">
      <c r="A38" s="49" t="s">
        <v>21</v>
      </c>
      <c r="B38" s="107" t="s">
        <v>212</v>
      </c>
      <c r="C38" s="81">
        <v>0.08</v>
      </c>
      <c r="D38" s="77">
        <f t="shared" si="0"/>
        <v>371.68</v>
      </c>
      <c r="E38" s="77">
        <f t="shared" si="1"/>
        <v>371.68</v>
      </c>
      <c r="F38" s="77">
        <f t="shared" si="2"/>
        <v>371.68</v>
      </c>
      <c r="G38" s="62">
        <f t="shared" si="3"/>
        <v>371.68</v>
      </c>
    </row>
    <row r="39" spans="1:7" ht="47.25" x14ac:dyDescent="0.25">
      <c r="A39" s="49" t="s">
        <v>22</v>
      </c>
      <c r="B39" s="249" t="s">
        <v>213</v>
      </c>
      <c r="C39" s="81">
        <v>0.03</v>
      </c>
      <c r="D39" s="77">
        <f t="shared" si="0"/>
        <v>139.38</v>
      </c>
      <c r="E39" s="77">
        <f t="shared" si="1"/>
        <v>139.38</v>
      </c>
      <c r="F39" s="77">
        <f t="shared" si="2"/>
        <v>139.38</v>
      </c>
      <c r="G39" s="62">
        <f t="shared" si="3"/>
        <v>139.38</v>
      </c>
    </row>
    <row r="40" spans="1:7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27.88</v>
      </c>
      <c r="E40" s="77">
        <f t="shared" si="1"/>
        <v>27.88</v>
      </c>
      <c r="F40" s="77">
        <f t="shared" si="2"/>
        <v>27.88</v>
      </c>
      <c r="G40" s="62">
        <f t="shared" si="3"/>
        <v>27.88</v>
      </c>
    </row>
    <row r="41" spans="1:7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1709.73</v>
      </c>
      <c r="E41" s="79">
        <f>SUM(E33:E40)</f>
        <v>1709.73</v>
      </c>
      <c r="F41" s="79">
        <f>SUM(F33:F40)</f>
        <v>1709.73</v>
      </c>
      <c r="G41" s="63">
        <f>SUM(G33:G40)</f>
        <v>1709.73</v>
      </c>
    </row>
    <row r="42" spans="1:7" s="30" customFormat="1" x14ac:dyDescent="0.25">
      <c r="A42" s="370" t="s">
        <v>173</v>
      </c>
      <c r="B42" s="371"/>
      <c r="C42" s="371"/>
      <c r="D42" s="226"/>
      <c r="E42" s="226"/>
      <c r="F42" s="226"/>
      <c r="G42" s="227"/>
    </row>
    <row r="43" spans="1:7" s="30" customFormat="1" x14ac:dyDescent="0.25">
      <c r="A43" s="73" t="s">
        <v>216</v>
      </c>
      <c r="B43" s="430" t="s">
        <v>217</v>
      </c>
      <c r="C43" s="431"/>
      <c r="D43" s="260"/>
      <c r="E43" s="245"/>
      <c r="F43" s="260"/>
      <c r="G43" s="236"/>
    </row>
    <row r="44" spans="1:7" s="30" customFormat="1" x14ac:dyDescent="0.25">
      <c r="A44" s="90" t="s">
        <v>0</v>
      </c>
      <c r="B44" s="53" t="s">
        <v>144</v>
      </c>
      <c r="C44" s="105"/>
      <c r="D44" s="101">
        <v>0</v>
      </c>
      <c r="E44" s="101">
        <v>0</v>
      </c>
      <c r="F44" s="101">
        <v>0</v>
      </c>
      <c r="G44" s="242">
        <v>0</v>
      </c>
    </row>
    <row r="45" spans="1:7" s="30" customFormat="1" x14ac:dyDescent="0.25">
      <c r="A45" s="47" t="s">
        <v>2</v>
      </c>
      <c r="B45" s="46" t="s">
        <v>191</v>
      </c>
      <c r="C45" s="72"/>
      <c r="D45" s="74">
        <v>0</v>
      </c>
      <c r="E45" s="74">
        <v>0</v>
      </c>
      <c r="F45" s="74">
        <v>0</v>
      </c>
      <c r="G45" s="59">
        <v>0</v>
      </c>
    </row>
    <row r="46" spans="1:7" s="30" customFormat="1" x14ac:dyDescent="0.25">
      <c r="A46" s="49" t="s">
        <v>3</v>
      </c>
      <c r="B46" s="50" t="s">
        <v>134</v>
      </c>
      <c r="C46" s="66"/>
      <c r="D46" s="84">
        <v>0</v>
      </c>
      <c r="E46" s="84">
        <v>0</v>
      </c>
      <c r="F46" s="84">
        <v>0</v>
      </c>
      <c r="G46" s="165">
        <v>0</v>
      </c>
    </row>
    <row r="47" spans="1:7" s="30" customFormat="1" x14ac:dyDescent="0.25">
      <c r="A47" s="49" t="s">
        <v>5</v>
      </c>
      <c r="B47" s="50" t="s">
        <v>135</v>
      </c>
      <c r="C47" s="55"/>
      <c r="D47" s="84">
        <f>(D18*C47*0.0199*2)/12</f>
        <v>0</v>
      </c>
      <c r="E47" s="84">
        <f>(E18*C47*0.0199*2)/12</f>
        <v>0</v>
      </c>
      <c r="F47" s="84">
        <f>(F18*C47*0.0199*2)/12</f>
        <v>0</v>
      </c>
      <c r="G47" s="165">
        <f>(G18*D47*0.0199*2)/12</f>
        <v>0</v>
      </c>
    </row>
    <row r="48" spans="1:7" s="30" customFormat="1" x14ac:dyDescent="0.25">
      <c r="A48" s="49" t="s">
        <v>20</v>
      </c>
      <c r="B48" s="50" t="s">
        <v>136</v>
      </c>
      <c r="C48" s="66"/>
      <c r="D48" s="77">
        <v>0</v>
      </c>
      <c r="E48" s="77">
        <v>0</v>
      </c>
      <c r="F48" s="77">
        <v>0</v>
      </c>
      <c r="G48" s="62">
        <v>0</v>
      </c>
    </row>
    <row r="49" spans="1:7" s="30" customFormat="1" ht="15.75" customHeight="1" x14ac:dyDescent="0.25">
      <c r="A49" s="252" t="s">
        <v>23</v>
      </c>
      <c r="B49" s="253"/>
      <c r="C49" s="85"/>
      <c r="D49" s="79">
        <f>SUM(D44:D48)</f>
        <v>0</v>
      </c>
      <c r="E49" s="79">
        <f>SUM(E44:E48)</f>
        <v>0</v>
      </c>
      <c r="F49" s="79">
        <f>SUM(F44:F48)</f>
        <v>0</v>
      </c>
      <c r="G49" s="63">
        <f>SUM(G44:G48)</f>
        <v>0</v>
      </c>
    </row>
    <row r="50" spans="1:7" s="30" customFormat="1" ht="15.75" customHeight="1" x14ac:dyDescent="0.25">
      <c r="A50" s="370" t="s">
        <v>224</v>
      </c>
      <c r="B50" s="371"/>
      <c r="C50" s="371"/>
      <c r="D50" s="226"/>
      <c r="E50" s="226"/>
      <c r="F50" s="226"/>
      <c r="G50" s="227"/>
    </row>
    <row r="51" spans="1:7" s="30" customFormat="1" ht="15.75" customHeight="1" x14ac:dyDescent="0.25">
      <c r="A51" s="257" t="s">
        <v>141</v>
      </c>
      <c r="B51" s="102" t="s">
        <v>145</v>
      </c>
      <c r="C51" s="258"/>
      <c r="D51" s="64">
        <f>D30</f>
        <v>756.18</v>
      </c>
      <c r="E51" s="64">
        <f>E30</f>
        <v>756.18</v>
      </c>
      <c r="F51" s="64">
        <f>F30</f>
        <v>756.18</v>
      </c>
      <c r="G51" s="167">
        <f>G30</f>
        <v>756.18</v>
      </c>
    </row>
    <row r="52" spans="1:7" s="30" customFormat="1" ht="15.75" customHeight="1" x14ac:dyDescent="0.25">
      <c r="A52" s="257" t="s">
        <v>215</v>
      </c>
      <c r="B52" s="102" t="s">
        <v>146</v>
      </c>
      <c r="C52" s="258"/>
      <c r="D52" s="64">
        <f>D41</f>
        <v>1709.73</v>
      </c>
      <c r="E52" s="64">
        <f>E41</f>
        <v>1709.73</v>
      </c>
      <c r="F52" s="64">
        <f>F41</f>
        <v>1709.73</v>
      </c>
      <c r="G52" s="167">
        <f>G41</f>
        <v>1709.73</v>
      </c>
    </row>
    <row r="53" spans="1:7" s="30" customFormat="1" ht="15.75" customHeight="1" x14ac:dyDescent="0.25">
      <c r="A53" s="257" t="s">
        <v>216</v>
      </c>
      <c r="B53" s="102" t="s">
        <v>147</v>
      </c>
      <c r="C53" s="258"/>
      <c r="D53" s="64">
        <f>D49</f>
        <v>0</v>
      </c>
      <c r="E53" s="64">
        <f>E49</f>
        <v>0</v>
      </c>
      <c r="F53" s="64">
        <f>F49</f>
        <v>0</v>
      </c>
      <c r="G53" s="167">
        <f>G49</f>
        <v>0</v>
      </c>
    </row>
    <row r="54" spans="1:7" s="30" customFormat="1" ht="15.75" customHeight="1" x14ac:dyDescent="0.25">
      <c r="A54" s="368" t="s">
        <v>153</v>
      </c>
      <c r="B54" s="369"/>
      <c r="C54" s="369"/>
      <c r="D54" s="65">
        <f>SUM(D51:D53)</f>
        <v>2465.91</v>
      </c>
      <c r="E54" s="65">
        <f>SUM(E51:E53)</f>
        <v>2465.91</v>
      </c>
      <c r="F54" s="65">
        <f>SUM(F51:F53)</f>
        <v>2465.91</v>
      </c>
      <c r="G54" s="61">
        <f>SUM(G51:G53)</f>
        <v>2465.91</v>
      </c>
    </row>
    <row r="55" spans="1:7" s="30" customFormat="1" ht="15.75" customHeight="1" x14ac:dyDescent="0.25">
      <c r="A55" s="416" t="s">
        <v>162</v>
      </c>
      <c r="B55" s="417"/>
      <c r="C55" s="417"/>
      <c r="D55" s="238"/>
      <c r="E55" s="238"/>
      <c r="F55" s="238"/>
      <c r="G55" s="239"/>
    </row>
    <row r="56" spans="1:7" s="30" customFormat="1" ht="15.75" customHeight="1" x14ac:dyDescent="0.25">
      <c r="A56" s="251" t="s">
        <v>200</v>
      </c>
      <c r="B56" s="376" t="s">
        <v>32</v>
      </c>
      <c r="C56" s="377"/>
      <c r="D56" s="68" t="s">
        <v>10</v>
      </c>
      <c r="E56" s="68" t="s">
        <v>10</v>
      </c>
      <c r="F56" s="68" t="s">
        <v>10</v>
      </c>
      <c r="G56" s="152" t="s">
        <v>10</v>
      </c>
    </row>
    <row r="57" spans="1:7" s="30" customFormat="1" ht="15.75" customHeight="1" x14ac:dyDescent="0.25">
      <c r="A57" s="49" t="s">
        <v>0</v>
      </c>
      <c r="B57" s="50" t="s">
        <v>33</v>
      </c>
      <c r="C57" s="55">
        <v>4.5999999999999999E-3</v>
      </c>
      <c r="D57" s="77">
        <f>D$25*C57</f>
        <v>17.89</v>
      </c>
      <c r="E57" s="77">
        <f>E$25*C57</f>
        <v>17.89</v>
      </c>
      <c r="F57" s="77">
        <f>F$25*C57</f>
        <v>17.89</v>
      </c>
      <c r="G57" s="62">
        <f>G$25*C57</f>
        <v>17.89</v>
      </c>
    </row>
    <row r="58" spans="1:7" s="30" customFormat="1" ht="15.75" customHeight="1" x14ac:dyDescent="0.25">
      <c r="A58" s="49" t="s">
        <v>2</v>
      </c>
      <c r="B58" s="50" t="s">
        <v>34</v>
      </c>
      <c r="C58" s="55">
        <v>4.0000000000000002E-4</v>
      </c>
      <c r="D58" s="77">
        <f>D$25*C58</f>
        <v>1.56</v>
      </c>
      <c r="E58" s="77">
        <f>E$25*C58</f>
        <v>1.56</v>
      </c>
      <c r="F58" s="77">
        <f>F$25*C58</f>
        <v>1.56</v>
      </c>
      <c r="G58" s="62">
        <f>G$25*C58</f>
        <v>1.56</v>
      </c>
    </row>
    <row r="59" spans="1:7" s="30" customFormat="1" ht="15.75" customHeight="1" x14ac:dyDescent="0.25">
      <c r="A59" s="49" t="s">
        <v>3</v>
      </c>
      <c r="B59" s="52" t="s">
        <v>35</v>
      </c>
      <c r="C59" s="55">
        <v>1.9400000000000001E-2</v>
      </c>
      <c r="D59" s="77">
        <f>D$25*C59</f>
        <v>75.459999999999994</v>
      </c>
      <c r="E59" s="77">
        <f>E$25*C59</f>
        <v>75.459999999999994</v>
      </c>
      <c r="F59" s="77">
        <f>F$25*C59</f>
        <v>75.459999999999994</v>
      </c>
      <c r="G59" s="62">
        <f>G$25*C59</f>
        <v>75.459999999999994</v>
      </c>
    </row>
    <row r="60" spans="1:7" s="30" customFormat="1" ht="30.75" customHeight="1" x14ac:dyDescent="0.25">
      <c r="A60" s="49" t="s">
        <v>5</v>
      </c>
      <c r="B60" s="50" t="s">
        <v>174</v>
      </c>
      <c r="C60" s="55">
        <v>7.1000000000000004E-3</v>
      </c>
      <c r="D60" s="77">
        <f>D$25*C60</f>
        <v>27.62</v>
      </c>
      <c r="E60" s="77">
        <f>E$25*C60</f>
        <v>27.62</v>
      </c>
      <c r="F60" s="77">
        <f>F$25*C60</f>
        <v>27.62</v>
      </c>
      <c r="G60" s="62">
        <f>G$25*C60</f>
        <v>27.62</v>
      </c>
    </row>
    <row r="61" spans="1:7" s="30" customFormat="1" ht="15.75" customHeight="1" x14ac:dyDescent="0.25">
      <c r="A61" s="49" t="s">
        <v>20</v>
      </c>
      <c r="B61" s="50" t="s">
        <v>149</v>
      </c>
      <c r="C61" s="55">
        <v>0.04</v>
      </c>
      <c r="D61" s="77">
        <f>D$25*C61</f>
        <v>155.59</v>
      </c>
      <c r="E61" s="77">
        <f>E$25*C61</f>
        <v>155.59</v>
      </c>
      <c r="F61" s="77">
        <f>F$25*C61</f>
        <v>155.59</v>
      </c>
      <c r="G61" s="62">
        <f>G$25*C61</f>
        <v>155.59</v>
      </c>
    </row>
    <row r="62" spans="1:7" s="30" customFormat="1" x14ac:dyDescent="0.25">
      <c r="A62" s="368" t="s">
        <v>154</v>
      </c>
      <c r="B62" s="369"/>
      <c r="C62" s="369"/>
      <c r="D62" s="65">
        <f>SUM(D57:D61)</f>
        <v>278.12</v>
      </c>
      <c r="E62" s="65">
        <f>SUM(E57:E61)</f>
        <v>278.12</v>
      </c>
      <c r="F62" s="65">
        <f>SUM(F57:F61)</f>
        <v>278.12</v>
      </c>
      <c r="G62" s="61">
        <f>SUM(G57:G61)</f>
        <v>278.12</v>
      </c>
    </row>
    <row r="63" spans="1:7" s="30" customFormat="1" x14ac:dyDescent="0.25">
      <c r="A63" s="416" t="s">
        <v>163</v>
      </c>
      <c r="B63" s="417"/>
      <c r="C63" s="417"/>
      <c r="D63" s="238"/>
      <c r="E63" s="238"/>
      <c r="F63" s="238"/>
      <c r="G63" s="239"/>
    </row>
    <row r="64" spans="1:7" s="30" customFormat="1" x14ac:dyDescent="0.25">
      <c r="A64" s="251" t="s">
        <v>199</v>
      </c>
      <c r="B64" s="380" t="s">
        <v>198</v>
      </c>
      <c r="C64" s="380"/>
      <c r="D64" s="68" t="s">
        <v>10</v>
      </c>
      <c r="E64" s="68" t="s">
        <v>10</v>
      </c>
      <c r="F64" s="68" t="s">
        <v>10</v>
      </c>
      <c r="G64" s="152" t="s">
        <v>10</v>
      </c>
    </row>
    <row r="65" spans="1:7" s="30" customFormat="1" x14ac:dyDescent="0.25">
      <c r="A65" s="49" t="s">
        <v>0</v>
      </c>
      <c r="B65" s="50" t="s">
        <v>192</v>
      </c>
      <c r="C65" s="55">
        <v>9.2999999999999992E-3</v>
      </c>
      <c r="D65" s="77">
        <f t="shared" ref="D65:D70" si="4">(D$25+D$54+D$62+D$85)*C65</f>
        <v>62.04</v>
      </c>
      <c r="E65" s="77">
        <f t="shared" ref="E65:E70" si="5">(E$25+E$54+E$62+E$85)*C65</f>
        <v>62.04</v>
      </c>
      <c r="F65" s="77">
        <f t="shared" ref="F65:F70" si="6">(F$25+F$54+F$62+F$85)*C65</f>
        <v>62.04</v>
      </c>
      <c r="G65" s="62">
        <f t="shared" ref="G65:G70" si="7">(G$25+G$54+G$62+G$85)*C65</f>
        <v>62.04</v>
      </c>
    </row>
    <row r="66" spans="1:7" s="30" customFormat="1" x14ac:dyDescent="0.25">
      <c r="A66" s="49" t="s">
        <v>2</v>
      </c>
      <c r="B66" s="50" t="s">
        <v>193</v>
      </c>
      <c r="C66" s="55">
        <v>1.66E-2</v>
      </c>
      <c r="D66" s="77">
        <f t="shared" si="4"/>
        <v>110.73</v>
      </c>
      <c r="E66" s="77">
        <f t="shared" si="5"/>
        <v>110.73</v>
      </c>
      <c r="F66" s="77">
        <f t="shared" si="6"/>
        <v>110.73</v>
      </c>
      <c r="G66" s="62">
        <f t="shared" si="7"/>
        <v>110.73</v>
      </c>
    </row>
    <row r="67" spans="1:7" s="30" customFormat="1" x14ac:dyDescent="0.25">
      <c r="A67" s="49" t="s">
        <v>3</v>
      </c>
      <c r="B67" s="50" t="s">
        <v>194</v>
      </c>
      <c r="C67" s="55">
        <v>2.0000000000000001E-4</v>
      </c>
      <c r="D67" s="77">
        <f t="shared" si="4"/>
        <v>1.33</v>
      </c>
      <c r="E67" s="77">
        <f t="shared" si="5"/>
        <v>1.33</v>
      </c>
      <c r="F67" s="77">
        <f t="shared" si="6"/>
        <v>1.33</v>
      </c>
      <c r="G67" s="62">
        <f t="shared" si="7"/>
        <v>1.33</v>
      </c>
    </row>
    <row r="68" spans="1:7" s="30" customFormat="1" x14ac:dyDescent="0.25">
      <c r="A68" s="49" t="s">
        <v>5</v>
      </c>
      <c r="B68" s="50" t="s">
        <v>195</v>
      </c>
      <c r="C68" s="55">
        <v>2.7000000000000001E-3</v>
      </c>
      <c r="D68" s="77">
        <f t="shared" si="4"/>
        <v>18.010000000000002</v>
      </c>
      <c r="E68" s="77">
        <f t="shared" si="5"/>
        <v>18.010000000000002</v>
      </c>
      <c r="F68" s="77">
        <f t="shared" si="6"/>
        <v>18.010000000000002</v>
      </c>
      <c r="G68" s="62">
        <f t="shared" si="7"/>
        <v>18.010000000000002</v>
      </c>
    </row>
    <row r="69" spans="1:7" s="30" customFormat="1" x14ac:dyDescent="0.25">
      <c r="A69" s="49" t="s">
        <v>20</v>
      </c>
      <c r="B69" s="50" t="s">
        <v>196</v>
      </c>
      <c r="C69" s="55">
        <v>2.9999999999999997E-4</v>
      </c>
      <c r="D69" s="77">
        <f t="shared" si="4"/>
        <v>2</v>
      </c>
      <c r="E69" s="77">
        <f t="shared" si="5"/>
        <v>2</v>
      </c>
      <c r="F69" s="77">
        <f t="shared" si="6"/>
        <v>2</v>
      </c>
      <c r="G69" s="62">
        <f t="shared" si="7"/>
        <v>2</v>
      </c>
    </row>
    <row r="70" spans="1:7" s="30" customFormat="1" ht="15.75" customHeight="1" x14ac:dyDescent="0.25">
      <c r="A70" s="49" t="s">
        <v>21</v>
      </c>
      <c r="B70" s="254" t="s">
        <v>197</v>
      </c>
      <c r="C70" s="55">
        <v>0</v>
      </c>
      <c r="D70" s="77">
        <f t="shared" si="4"/>
        <v>0</v>
      </c>
      <c r="E70" s="77">
        <f t="shared" si="5"/>
        <v>0</v>
      </c>
      <c r="F70" s="77">
        <f t="shared" si="6"/>
        <v>0</v>
      </c>
      <c r="G70" s="62">
        <f t="shared" si="7"/>
        <v>0</v>
      </c>
    </row>
    <row r="71" spans="1:7" s="30" customFormat="1" x14ac:dyDescent="0.25">
      <c r="A71" s="366" t="s">
        <v>29</v>
      </c>
      <c r="B71" s="367"/>
      <c r="C71" s="56">
        <f>SUM(C65:C70)</f>
        <v>2.9100000000000001E-2</v>
      </c>
      <c r="D71" s="79">
        <f>SUM(D65:D70)</f>
        <v>194.11</v>
      </c>
      <c r="E71" s="79">
        <f>SUM(E65:E70)</f>
        <v>194.11</v>
      </c>
      <c r="F71" s="79">
        <f>SUM(F65:F70)</f>
        <v>194.11</v>
      </c>
      <c r="G71" s="63">
        <f>SUM(G65:G70)</f>
        <v>194.11</v>
      </c>
    </row>
    <row r="72" spans="1:7" s="30" customFormat="1" x14ac:dyDescent="0.25">
      <c r="A72" s="257"/>
      <c r="B72" s="258"/>
      <c r="C72" s="92"/>
      <c r="D72" s="74"/>
      <c r="E72" s="74"/>
      <c r="F72" s="92"/>
      <c r="G72" s="244"/>
    </row>
    <row r="73" spans="1:7" s="30" customFormat="1" x14ac:dyDescent="0.25">
      <c r="A73" s="257"/>
      <c r="B73" s="374" t="s">
        <v>201</v>
      </c>
      <c r="C73" s="375"/>
      <c r="D73" s="68" t="s">
        <v>10</v>
      </c>
      <c r="E73" s="68" t="s">
        <v>10</v>
      </c>
      <c r="F73" s="68" t="s">
        <v>10</v>
      </c>
      <c r="G73" s="152" t="s">
        <v>10</v>
      </c>
    </row>
    <row r="74" spans="1:7" s="30" customFormat="1" x14ac:dyDescent="0.25">
      <c r="A74" s="49" t="s">
        <v>0</v>
      </c>
      <c r="B74" s="50" t="s">
        <v>202</v>
      </c>
      <c r="C74" s="55">
        <v>0</v>
      </c>
      <c r="D74" s="77">
        <f>(D$25+D$54+D$62)*C74</f>
        <v>0</v>
      </c>
      <c r="E74" s="77">
        <f>(E$25+E$54+E$62)*C74</f>
        <v>0</v>
      </c>
      <c r="F74" s="77">
        <f>(F$25+F$54+F$62)*C74</f>
        <v>0</v>
      </c>
      <c r="G74" s="62">
        <f>(G$25+G$54+G$62)*C74</f>
        <v>0</v>
      </c>
    </row>
    <row r="75" spans="1:7" s="30" customFormat="1" ht="15.75" customHeight="1" x14ac:dyDescent="0.25">
      <c r="A75" s="366" t="s">
        <v>27</v>
      </c>
      <c r="B75" s="367"/>
      <c r="C75" s="93">
        <f>C74</f>
        <v>0</v>
      </c>
      <c r="D75" s="79">
        <f>D74</f>
        <v>0</v>
      </c>
      <c r="E75" s="79">
        <f>E74</f>
        <v>0</v>
      </c>
      <c r="F75" s="79">
        <f>F74</f>
        <v>0</v>
      </c>
      <c r="G75" s="63">
        <f>G74</f>
        <v>0</v>
      </c>
    </row>
    <row r="76" spans="1:7" s="30" customFormat="1" ht="15.75" customHeight="1" x14ac:dyDescent="0.25">
      <c r="A76" s="370" t="s">
        <v>30</v>
      </c>
      <c r="B76" s="371"/>
      <c r="C76" s="371"/>
      <c r="D76" s="226"/>
      <c r="E76" s="226"/>
      <c r="F76" s="226"/>
      <c r="G76" s="227"/>
    </row>
    <row r="77" spans="1:7" s="30" customFormat="1" ht="15.75" customHeight="1" x14ac:dyDescent="0.25">
      <c r="A77" s="240" t="s">
        <v>203</v>
      </c>
      <c r="B77" s="98"/>
      <c r="C77" s="98"/>
      <c r="D77" s="98"/>
      <c r="E77" s="98"/>
      <c r="F77" s="98"/>
      <c r="G77" s="241"/>
    </row>
    <row r="78" spans="1:7" s="30" customFormat="1" ht="15.75" customHeight="1" x14ac:dyDescent="0.25">
      <c r="A78" s="251">
        <v>4</v>
      </c>
      <c r="B78" s="376" t="s">
        <v>31</v>
      </c>
      <c r="C78" s="377"/>
      <c r="D78" s="68" t="s">
        <v>10</v>
      </c>
      <c r="E78" s="68" t="s">
        <v>10</v>
      </c>
      <c r="F78" s="68" t="s">
        <v>10</v>
      </c>
      <c r="G78" s="152" t="s">
        <v>10</v>
      </c>
    </row>
    <row r="79" spans="1:7" s="30" customFormat="1" ht="15.75" customHeight="1" x14ac:dyDescent="0.25">
      <c r="A79" s="49" t="s">
        <v>199</v>
      </c>
      <c r="B79" s="254" t="s">
        <v>198</v>
      </c>
      <c r="C79" s="55">
        <f>C71</f>
        <v>2.9100000000000001E-2</v>
      </c>
      <c r="D79" s="77">
        <f>D71</f>
        <v>194.11</v>
      </c>
      <c r="E79" s="77">
        <f>E71</f>
        <v>194.11</v>
      </c>
      <c r="F79" s="77">
        <f>F71</f>
        <v>194.11</v>
      </c>
      <c r="G79" s="62">
        <f>G71</f>
        <v>194.11</v>
      </c>
    </row>
    <row r="80" spans="1:7" s="30" customFormat="1" ht="15.75" customHeight="1" x14ac:dyDescent="0.25">
      <c r="A80" s="49" t="s">
        <v>221</v>
      </c>
      <c r="B80" s="254" t="s">
        <v>201</v>
      </c>
      <c r="C80" s="55">
        <v>0</v>
      </c>
      <c r="D80" s="77">
        <f>(D$25+D$54+D$62)*C80</f>
        <v>0</v>
      </c>
      <c r="E80" s="77">
        <f>(E$25+E$54+E$62)*C80</f>
        <v>0</v>
      </c>
      <c r="F80" s="77">
        <f>(F$25+F$54+F$62)*C80</f>
        <v>0</v>
      </c>
      <c r="G80" s="62">
        <f>(G$25+G$54+G$62)*C80</f>
        <v>0</v>
      </c>
    </row>
    <row r="81" spans="1:7" s="30" customFormat="1" ht="15.75" customHeight="1" x14ac:dyDescent="0.25">
      <c r="A81" s="366" t="s">
        <v>27</v>
      </c>
      <c r="B81" s="367"/>
      <c r="C81" s="91">
        <f>SUM(C79:C80)</f>
        <v>2.9100000000000001E-2</v>
      </c>
      <c r="D81" s="79">
        <f>SUM(D79:D80)</f>
        <v>194.11</v>
      </c>
      <c r="E81" s="79">
        <f>SUM(E79:E80)</f>
        <v>194.11</v>
      </c>
      <c r="F81" s="79">
        <f>SUM(F79:F80)</f>
        <v>194.11</v>
      </c>
      <c r="G81" s="63">
        <f>SUM(G79:G80)</f>
        <v>194.11</v>
      </c>
    </row>
    <row r="82" spans="1:7" s="30" customFormat="1" ht="15.75" customHeight="1" x14ac:dyDescent="0.25">
      <c r="A82" s="368" t="s">
        <v>155</v>
      </c>
      <c r="B82" s="369"/>
      <c r="C82" s="369"/>
      <c r="D82" s="65">
        <f>SUM(D75+D81)</f>
        <v>194.11</v>
      </c>
      <c r="E82" s="65">
        <f>SUM(E75+E81)</f>
        <v>194.11</v>
      </c>
      <c r="F82" s="65">
        <f>SUM(F75+F81)</f>
        <v>194.11</v>
      </c>
      <c r="G82" s="61">
        <f>SUM(G75+G81)</f>
        <v>194.11</v>
      </c>
    </row>
    <row r="83" spans="1:7" s="30" customFormat="1" ht="15.75" customHeight="1" x14ac:dyDescent="0.25">
      <c r="A83" s="416" t="s">
        <v>164</v>
      </c>
      <c r="B83" s="417"/>
      <c r="C83" s="417"/>
      <c r="D83" s="238"/>
      <c r="E83" s="238"/>
      <c r="F83" s="238"/>
      <c r="G83" s="239"/>
    </row>
    <row r="84" spans="1:7" s="30" customFormat="1" ht="15.75" customHeight="1" x14ac:dyDescent="0.25">
      <c r="A84" s="251">
        <v>5</v>
      </c>
      <c r="B84" s="376" t="s">
        <v>24</v>
      </c>
      <c r="C84" s="377"/>
      <c r="D84" s="68" t="s">
        <v>10</v>
      </c>
      <c r="E84" s="68" t="s">
        <v>10</v>
      </c>
      <c r="F84" s="68" t="s">
        <v>10</v>
      </c>
      <c r="G84" s="152" t="s">
        <v>10</v>
      </c>
    </row>
    <row r="85" spans="1:7" s="30" customFormat="1" ht="15.75" customHeight="1" x14ac:dyDescent="0.25">
      <c r="A85" s="47" t="s">
        <v>0</v>
      </c>
      <c r="B85" s="390" t="s">
        <v>222</v>
      </c>
      <c r="C85" s="390"/>
      <c r="D85" s="77">
        <f>Uniformes!H7</f>
        <v>36.619999999999997</v>
      </c>
      <c r="E85" s="77">
        <f>Uniformes!H7</f>
        <v>36.619999999999997</v>
      </c>
      <c r="F85" s="77">
        <f>Uniformes!H7</f>
        <v>36.619999999999997</v>
      </c>
      <c r="G85" s="59">
        <f>Uniformes!H7</f>
        <v>36.619999999999997</v>
      </c>
    </row>
    <row r="86" spans="1:7" s="30" customFormat="1" ht="15.75" customHeight="1" x14ac:dyDescent="0.25">
      <c r="A86" s="47" t="s">
        <v>2</v>
      </c>
      <c r="B86" s="390" t="s">
        <v>223</v>
      </c>
      <c r="C86" s="390"/>
      <c r="D86" s="77">
        <f>Materiais!H18</f>
        <v>64.819999999999993</v>
      </c>
      <c r="E86" s="77">
        <f>Materiais!H19</f>
        <v>64.819999999999993</v>
      </c>
      <c r="F86" s="77">
        <f>Materiais!H22</f>
        <v>129.65</v>
      </c>
      <c r="G86" s="59">
        <f>Materiais!H23</f>
        <v>64.819999999999993</v>
      </c>
    </row>
    <row r="87" spans="1:7" s="30" customFormat="1" ht="15.75" customHeight="1" x14ac:dyDescent="0.25">
      <c r="A87" s="47" t="s">
        <v>3</v>
      </c>
      <c r="B87" s="390" t="s">
        <v>187</v>
      </c>
      <c r="C87" s="390"/>
      <c r="D87" s="74">
        <f>Equipamentos!H18</f>
        <v>1312.5</v>
      </c>
      <c r="E87" s="74">
        <f>Equipamentos!H19</f>
        <v>1312.5</v>
      </c>
      <c r="F87" s="74">
        <f>Equipamentos!H22</f>
        <v>2625</v>
      </c>
      <c r="G87" s="59">
        <f>Equipamentos!H23</f>
        <v>1312.5</v>
      </c>
    </row>
    <row r="88" spans="1:7" s="30" customFormat="1" ht="15.75" customHeight="1" x14ac:dyDescent="0.25">
      <c r="A88" s="47" t="s">
        <v>5</v>
      </c>
      <c r="B88" s="390" t="s">
        <v>137</v>
      </c>
      <c r="C88" s="390"/>
      <c r="D88" s="77">
        <v>0</v>
      </c>
      <c r="E88" s="77">
        <v>0</v>
      </c>
      <c r="F88" s="77">
        <v>0</v>
      </c>
      <c r="G88" s="62">
        <v>0</v>
      </c>
    </row>
    <row r="89" spans="1:7" s="30" customFormat="1" ht="15.75" customHeight="1" x14ac:dyDescent="0.25">
      <c r="A89" s="368" t="s">
        <v>156</v>
      </c>
      <c r="B89" s="369"/>
      <c r="C89" s="369"/>
      <c r="D89" s="65">
        <f>SUM(D85:D88)</f>
        <v>1413.94</v>
      </c>
      <c r="E89" s="65">
        <f>SUM(E85:E88)</f>
        <v>1413.94</v>
      </c>
      <c r="F89" s="65">
        <f>SUM(F85:F88)</f>
        <v>2791.27</v>
      </c>
      <c r="G89" s="61">
        <f>SUM(G85:G88)</f>
        <v>1413.94</v>
      </c>
    </row>
    <row r="90" spans="1:7" s="30" customFormat="1" ht="30" customHeight="1" x14ac:dyDescent="0.25">
      <c r="A90" s="389" t="s">
        <v>225</v>
      </c>
      <c r="B90" s="379"/>
      <c r="C90" s="379"/>
      <c r="D90" s="144">
        <f>D89+D82+D62+D54+D25</f>
        <v>8241.8799999999992</v>
      </c>
      <c r="E90" s="144">
        <f>E89+E82+E62+E54+E25</f>
        <v>8241.8799999999992</v>
      </c>
      <c r="F90" s="144">
        <f>F89+F82+F62+F54+F25</f>
        <v>9619.2099999999991</v>
      </c>
      <c r="G90" s="201">
        <f>G89+G82+G62+G54+G25</f>
        <v>8241.8799999999992</v>
      </c>
    </row>
    <row r="91" spans="1:7" s="30" customFormat="1" ht="19.5" customHeight="1" x14ac:dyDescent="0.25">
      <c r="A91" s="416" t="s">
        <v>165</v>
      </c>
      <c r="B91" s="417"/>
      <c r="C91" s="417"/>
      <c r="D91" s="238"/>
      <c r="E91" s="238"/>
      <c r="F91" s="238"/>
      <c r="G91" s="239"/>
    </row>
    <row r="92" spans="1:7" s="30" customFormat="1" x14ac:dyDescent="0.25">
      <c r="A92" s="251">
        <v>6</v>
      </c>
      <c r="B92" s="376" t="s">
        <v>38</v>
      </c>
      <c r="C92" s="378"/>
      <c r="D92" s="68" t="s">
        <v>10</v>
      </c>
      <c r="E92" s="68" t="s">
        <v>10</v>
      </c>
      <c r="F92" s="68" t="s">
        <v>10</v>
      </c>
      <c r="G92" s="152" t="s">
        <v>10</v>
      </c>
    </row>
    <row r="93" spans="1:7" s="30" customFormat="1" x14ac:dyDescent="0.25">
      <c r="A93" s="251" t="s">
        <v>0</v>
      </c>
      <c r="B93" s="50" t="s">
        <v>39</v>
      </c>
      <c r="C93" s="55">
        <v>0.03</v>
      </c>
      <c r="D93" s="77">
        <f>+D90*C93</f>
        <v>247.26</v>
      </c>
      <c r="E93" s="77">
        <f>+E90*C93</f>
        <v>247.26</v>
      </c>
      <c r="F93" s="77">
        <f>+F90*C93</f>
        <v>288.58</v>
      </c>
      <c r="G93" s="62">
        <f>+G90*C93</f>
        <v>247.26</v>
      </c>
    </row>
    <row r="94" spans="1:7" s="30" customFormat="1" x14ac:dyDescent="0.25">
      <c r="A94" s="251" t="s">
        <v>2</v>
      </c>
      <c r="B94" s="50" t="s">
        <v>40</v>
      </c>
      <c r="C94" s="55">
        <v>6.7900000000000002E-2</v>
      </c>
      <c r="D94" s="77">
        <f>C94*(+D90+D93)</f>
        <v>576.41</v>
      </c>
      <c r="E94" s="77">
        <f>C94*(+E90+E93)</f>
        <v>576.41</v>
      </c>
      <c r="F94" s="77">
        <f>C94*(+F90+F93)</f>
        <v>672.74</v>
      </c>
      <c r="G94" s="62">
        <f>C94*(+G90+G93)</f>
        <v>576.41</v>
      </c>
    </row>
    <row r="95" spans="1:7" s="30" customFormat="1" ht="31.5" x14ac:dyDescent="0.25">
      <c r="A95" s="384" t="s">
        <v>3</v>
      </c>
      <c r="B95" s="50" t="s">
        <v>50</v>
      </c>
      <c r="C95" s="55">
        <f>1-C103</f>
        <v>0.85750000000000004</v>
      </c>
      <c r="D95" s="77">
        <f>+D90+D93+D94</f>
        <v>9065.5499999999993</v>
      </c>
      <c r="E95" s="77">
        <f>+E90+E93+E94</f>
        <v>9065.5499999999993</v>
      </c>
      <c r="F95" s="77">
        <f>+F90+F93+F94</f>
        <v>10580.53</v>
      </c>
      <c r="G95" s="62">
        <f>+G90+G93+G94</f>
        <v>9065.5499999999993</v>
      </c>
    </row>
    <row r="96" spans="1:7" s="30" customFormat="1" x14ac:dyDescent="0.25">
      <c r="A96" s="384"/>
      <c r="B96" s="254" t="s">
        <v>41</v>
      </c>
      <c r="C96" s="88"/>
      <c r="D96" s="145">
        <f>+D95/C95</f>
        <v>10572.07</v>
      </c>
      <c r="E96" s="145">
        <f>+E95/C95</f>
        <v>10572.07</v>
      </c>
      <c r="F96" s="145">
        <f>+F95/C95</f>
        <v>12338.81</v>
      </c>
      <c r="G96" s="202">
        <f>+G95/C95</f>
        <v>10572.07</v>
      </c>
    </row>
    <row r="97" spans="1:7" s="30" customFormat="1" x14ac:dyDescent="0.25">
      <c r="A97" s="384"/>
      <c r="B97" s="254" t="s">
        <v>42</v>
      </c>
      <c r="C97" s="67"/>
      <c r="D97" s="77"/>
      <c r="E97" s="77"/>
      <c r="F97" s="77"/>
      <c r="G97" s="62"/>
    </row>
    <row r="98" spans="1:7" s="30" customFormat="1" x14ac:dyDescent="0.25">
      <c r="A98" s="384"/>
      <c r="B98" s="50" t="s">
        <v>130</v>
      </c>
      <c r="C98" s="55">
        <v>1.6500000000000001E-2</v>
      </c>
      <c r="D98" s="77">
        <f>+D96*C98</f>
        <v>174.44</v>
      </c>
      <c r="E98" s="77">
        <f>+E96*C98</f>
        <v>174.44</v>
      </c>
      <c r="F98" s="77">
        <f>+F96*C98</f>
        <v>203.59</v>
      </c>
      <c r="G98" s="62">
        <f>+G96*C98</f>
        <v>174.44</v>
      </c>
    </row>
    <row r="99" spans="1:7" s="30" customFormat="1" x14ac:dyDescent="0.25">
      <c r="A99" s="384"/>
      <c r="B99" s="50" t="s">
        <v>131</v>
      </c>
      <c r="C99" s="55">
        <v>7.5999999999999998E-2</v>
      </c>
      <c r="D99" s="77">
        <f>+D96*C99</f>
        <v>803.48</v>
      </c>
      <c r="E99" s="77">
        <f>+E96*C99</f>
        <v>803.48</v>
      </c>
      <c r="F99" s="77">
        <f>+F96*C99</f>
        <v>937.75</v>
      </c>
      <c r="G99" s="62">
        <f>+G96*C99</f>
        <v>803.48</v>
      </c>
    </row>
    <row r="100" spans="1:7" s="30" customFormat="1" x14ac:dyDescent="0.25">
      <c r="A100" s="384"/>
      <c r="B100" s="51" t="s">
        <v>43</v>
      </c>
      <c r="C100" s="88"/>
      <c r="D100" s="77"/>
      <c r="E100" s="77"/>
      <c r="F100" s="77"/>
      <c r="G100" s="62"/>
    </row>
    <row r="101" spans="1:7" s="30" customFormat="1" x14ac:dyDescent="0.25">
      <c r="A101" s="384"/>
      <c r="B101" s="51" t="s">
        <v>44</v>
      </c>
      <c r="C101" s="94"/>
      <c r="D101" s="77"/>
      <c r="E101" s="77"/>
      <c r="F101" s="77"/>
      <c r="G101" s="62"/>
    </row>
    <row r="102" spans="1:7" s="30" customFormat="1" x14ac:dyDescent="0.25">
      <c r="A102" s="384"/>
      <c r="B102" s="50" t="s">
        <v>142</v>
      </c>
      <c r="C102" s="55">
        <v>0.05</v>
      </c>
      <c r="D102" s="77">
        <f>+D96*C102</f>
        <v>528.6</v>
      </c>
      <c r="E102" s="77">
        <f>+E96*C102</f>
        <v>528.6</v>
      </c>
      <c r="F102" s="77">
        <f>+F96*C102</f>
        <v>616.94000000000005</v>
      </c>
      <c r="G102" s="62">
        <f>+G96*C102</f>
        <v>528.6</v>
      </c>
    </row>
    <row r="103" spans="1:7" s="30" customFormat="1" x14ac:dyDescent="0.25">
      <c r="A103" s="251"/>
      <c r="B103" s="98" t="s">
        <v>45</v>
      </c>
      <c r="C103" s="99">
        <f>SUM(C98:C102)</f>
        <v>0.14249999999999999</v>
      </c>
      <c r="D103" s="100">
        <f>SUM(D98:D102)</f>
        <v>1506.52</v>
      </c>
      <c r="E103" s="100">
        <f>SUM(E98:E102)</f>
        <v>1506.52</v>
      </c>
      <c r="F103" s="100">
        <f>SUM(F98:F102)</f>
        <v>1758.28</v>
      </c>
      <c r="G103" s="170">
        <f>SUM(G98:G102)</f>
        <v>1506.52</v>
      </c>
    </row>
    <row r="104" spans="1:7" s="30" customFormat="1" ht="15.75" customHeight="1" x14ac:dyDescent="0.25">
      <c r="A104" s="366" t="s">
        <v>46</v>
      </c>
      <c r="B104" s="367"/>
      <c r="C104" s="367"/>
      <c r="D104" s="79">
        <f>+D93+D94+D103</f>
        <v>2330.19</v>
      </c>
      <c r="E104" s="79">
        <f>+E93+E94+E103</f>
        <v>2330.19</v>
      </c>
      <c r="F104" s="79">
        <f>+F93+F94+F103</f>
        <v>2719.6</v>
      </c>
      <c r="G104" s="63">
        <f>+G93+G94+G103</f>
        <v>2330.19</v>
      </c>
    </row>
    <row r="105" spans="1:7" s="30" customFormat="1" ht="15.75" customHeight="1" x14ac:dyDescent="0.25">
      <c r="A105" s="424" t="s">
        <v>47</v>
      </c>
      <c r="B105" s="425"/>
      <c r="C105" s="425"/>
      <c r="D105" s="146" t="s">
        <v>10</v>
      </c>
      <c r="E105" s="146" t="s">
        <v>10</v>
      </c>
      <c r="F105" s="146" t="s">
        <v>10</v>
      </c>
      <c r="G105" s="243" t="s">
        <v>10</v>
      </c>
    </row>
    <row r="106" spans="1:7" s="30" customFormat="1" x14ac:dyDescent="0.25">
      <c r="A106" s="49" t="s">
        <v>0</v>
      </c>
      <c r="B106" s="387" t="s">
        <v>48</v>
      </c>
      <c r="C106" s="387"/>
      <c r="D106" s="77">
        <f>+D25</f>
        <v>3889.8</v>
      </c>
      <c r="E106" s="77">
        <f>+E25</f>
        <v>3889.8</v>
      </c>
      <c r="F106" s="77">
        <f>+F25</f>
        <v>3889.8</v>
      </c>
      <c r="G106" s="62">
        <f>+G25</f>
        <v>3889.8</v>
      </c>
    </row>
    <row r="107" spans="1:7" s="30" customFormat="1" x14ac:dyDescent="0.25">
      <c r="A107" s="49" t="s">
        <v>2</v>
      </c>
      <c r="B107" s="387" t="s">
        <v>159</v>
      </c>
      <c r="C107" s="387"/>
      <c r="D107" s="77">
        <f>+D54</f>
        <v>2465.91</v>
      </c>
      <c r="E107" s="77">
        <f>+E54</f>
        <v>2465.91</v>
      </c>
      <c r="F107" s="77">
        <f>+F54</f>
        <v>2465.91</v>
      </c>
      <c r="G107" s="62">
        <f>+G54</f>
        <v>2465.91</v>
      </c>
    </row>
    <row r="108" spans="1:7" s="30" customFormat="1" x14ac:dyDescent="0.25">
      <c r="A108" s="49" t="s">
        <v>3</v>
      </c>
      <c r="B108" s="387" t="s">
        <v>157</v>
      </c>
      <c r="C108" s="387"/>
      <c r="D108" s="77">
        <f>D62</f>
        <v>278.12</v>
      </c>
      <c r="E108" s="77">
        <f>E62</f>
        <v>278.12</v>
      </c>
      <c r="F108" s="77">
        <f>F62</f>
        <v>278.12</v>
      </c>
      <c r="G108" s="62">
        <f>G62</f>
        <v>278.12</v>
      </c>
    </row>
    <row r="109" spans="1:7" s="30" customFormat="1" x14ac:dyDescent="0.25">
      <c r="A109" s="49" t="s">
        <v>5</v>
      </c>
      <c r="B109" s="387" t="s">
        <v>150</v>
      </c>
      <c r="C109" s="387"/>
      <c r="D109" s="77">
        <f>D82</f>
        <v>194.11</v>
      </c>
      <c r="E109" s="77">
        <f>E82</f>
        <v>194.11</v>
      </c>
      <c r="F109" s="77">
        <f>F82</f>
        <v>194.11</v>
      </c>
      <c r="G109" s="62">
        <f>G82</f>
        <v>194.11</v>
      </c>
    </row>
    <row r="110" spans="1:7" s="30" customFormat="1" x14ac:dyDescent="0.25">
      <c r="A110" s="49" t="s">
        <v>20</v>
      </c>
      <c r="B110" s="387" t="s">
        <v>158</v>
      </c>
      <c r="C110" s="387"/>
      <c r="D110" s="77">
        <f>D89</f>
        <v>1413.94</v>
      </c>
      <c r="E110" s="77">
        <f>E89</f>
        <v>1413.94</v>
      </c>
      <c r="F110" s="77">
        <f>F89</f>
        <v>2791.27</v>
      </c>
      <c r="G110" s="62">
        <f>G89</f>
        <v>1413.94</v>
      </c>
    </row>
    <row r="111" spans="1:7" s="30" customFormat="1" ht="15.75" customHeight="1" x14ac:dyDescent="0.25">
      <c r="A111" s="384" t="s">
        <v>160</v>
      </c>
      <c r="B111" s="388"/>
      <c r="C111" s="388"/>
      <c r="D111" s="100">
        <f>SUM(D106:D110)</f>
        <v>8241.8799999999992</v>
      </c>
      <c r="E111" s="100">
        <f>SUM(E106:E110)</f>
        <v>8241.8799999999992</v>
      </c>
      <c r="F111" s="100">
        <f>SUM(F106:F110)</f>
        <v>9619.2099999999991</v>
      </c>
      <c r="G111" s="170">
        <f>SUM(G106:G110)</f>
        <v>8241.8799999999992</v>
      </c>
    </row>
    <row r="112" spans="1:7" s="30" customFormat="1" x14ac:dyDescent="0.25">
      <c r="A112" s="251" t="s">
        <v>20</v>
      </c>
      <c r="B112" s="387" t="s">
        <v>161</v>
      </c>
      <c r="C112" s="387"/>
      <c r="D112" s="77">
        <f>+D104</f>
        <v>2330.19</v>
      </c>
      <c r="E112" s="77">
        <f>+E104</f>
        <v>2330.19</v>
      </c>
      <c r="F112" s="77">
        <f>+F104</f>
        <v>2719.6</v>
      </c>
      <c r="G112" s="62">
        <f>+G104</f>
        <v>2330.19</v>
      </c>
    </row>
    <row r="113" spans="1:7" s="30" customFormat="1" ht="16.5" customHeight="1" thickBot="1" x14ac:dyDescent="0.3">
      <c r="A113" s="381" t="s">
        <v>49</v>
      </c>
      <c r="B113" s="382"/>
      <c r="C113" s="382"/>
      <c r="D113" s="147">
        <f>+D111+D112</f>
        <v>10572.07</v>
      </c>
      <c r="E113" s="147">
        <f>+E111+E112</f>
        <v>10572.07</v>
      </c>
      <c r="F113" s="147">
        <f>+F111+F112</f>
        <v>12338.81</v>
      </c>
      <c r="G113" s="203">
        <f>+G111+G112</f>
        <v>10572.07</v>
      </c>
    </row>
    <row r="114" spans="1:7" x14ac:dyDescent="0.25">
      <c r="C114" s="31"/>
      <c r="D114" s="31"/>
      <c r="E114" s="31"/>
      <c r="F114" s="33"/>
    </row>
    <row r="115" spans="1:7" x14ac:dyDescent="0.25">
      <c r="B115" s="28"/>
      <c r="C115" s="31"/>
      <c r="D115" s="31"/>
      <c r="E115" s="31"/>
      <c r="F115" s="34"/>
    </row>
    <row r="116" spans="1:7" x14ac:dyDescent="0.25">
      <c r="B116" s="28"/>
      <c r="C116" s="31"/>
      <c r="D116" s="31"/>
      <c r="E116" s="31"/>
      <c r="F116" s="34" t="s">
        <v>129</v>
      </c>
    </row>
    <row r="117" spans="1:7" x14ac:dyDescent="0.25">
      <c r="B117" s="28"/>
      <c r="C117" s="383"/>
      <c r="D117" s="383"/>
      <c r="E117" s="383"/>
      <c r="F117" s="383"/>
    </row>
    <row r="118" spans="1:7" x14ac:dyDescent="0.25">
      <c r="B118" s="28"/>
      <c r="C118" s="31"/>
      <c r="D118" s="31"/>
      <c r="E118" s="31"/>
      <c r="F118" s="35"/>
    </row>
    <row r="120" spans="1:7" x14ac:dyDescent="0.25">
      <c r="B120" s="36"/>
    </row>
    <row r="125" spans="1:7" x14ac:dyDescent="0.25">
      <c r="B125" s="28"/>
    </row>
  </sheetData>
  <mergeCells count="63">
    <mergeCell ref="A41:B41"/>
    <mergeCell ref="B43:C43"/>
    <mergeCell ref="A54:C54"/>
    <mergeCell ref="C6:G6"/>
    <mergeCell ref="A25:C25"/>
    <mergeCell ref="A11:C11"/>
    <mergeCell ref="A16:C16"/>
    <mergeCell ref="B17:C17"/>
    <mergeCell ref="C7:G7"/>
    <mergeCell ref="A8:G8"/>
    <mergeCell ref="C15:G15"/>
    <mergeCell ref="A10:G10"/>
    <mergeCell ref="D11:G11"/>
    <mergeCell ref="C12:G12"/>
    <mergeCell ref="C13:G13"/>
    <mergeCell ref="C14:G14"/>
    <mergeCell ref="A1:G1"/>
    <mergeCell ref="A2:G2"/>
    <mergeCell ref="A3:G3"/>
    <mergeCell ref="C4:G4"/>
    <mergeCell ref="C5:G5"/>
    <mergeCell ref="A9:G9"/>
    <mergeCell ref="B64:C64"/>
    <mergeCell ref="A71:B71"/>
    <mergeCell ref="B73:C73"/>
    <mergeCell ref="A75:B75"/>
    <mergeCell ref="A62:C62"/>
    <mergeCell ref="A42:C42"/>
    <mergeCell ref="A50:C50"/>
    <mergeCell ref="A55:C55"/>
    <mergeCell ref="A63:C63"/>
    <mergeCell ref="B56:C56"/>
    <mergeCell ref="A31:G31"/>
    <mergeCell ref="A26:C26"/>
    <mergeCell ref="B27:C27"/>
    <mergeCell ref="A30:B30"/>
    <mergeCell ref="B32:C32"/>
    <mergeCell ref="B78:C78"/>
    <mergeCell ref="A81:B81"/>
    <mergeCell ref="A82:C82"/>
    <mergeCell ref="A76:C76"/>
    <mergeCell ref="A83:C83"/>
    <mergeCell ref="A105:C105"/>
    <mergeCell ref="B84:C84"/>
    <mergeCell ref="B85:C85"/>
    <mergeCell ref="B86:C86"/>
    <mergeCell ref="B87:C87"/>
    <mergeCell ref="B88:C88"/>
    <mergeCell ref="A89:C89"/>
    <mergeCell ref="A90:C90"/>
    <mergeCell ref="B92:C92"/>
    <mergeCell ref="A95:A102"/>
    <mergeCell ref="A104:C104"/>
    <mergeCell ref="A91:C91"/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86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391"/>
      <c r="B1" s="392"/>
      <c r="C1" s="392"/>
      <c r="D1" s="392"/>
      <c r="E1" s="392"/>
      <c r="F1" s="393"/>
    </row>
    <row r="2" spans="1:6" s="38" customFormat="1" ht="16.5" customHeight="1" x14ac:dyDescent="0.25">
      <c r="A2" s="394" t="s">
        <v>132</v>
      </c>
      <c r="B2" s="395"/>
      <c r="C2" s="395"/>
      <c r="D2" s="395"/>
      <c r="E2" s="395"/>
      <c r="F2" s="396"/>
    </row>
    <row r="3" spans="1:6" s="38" customFormat="1" x14ac:dyDescent="0.25">
      <c r="A3" s="397" t="s">
        <v>129</v>
      </c>
      <c r="B3" s="398"/>
      <c r="C3" s="398"/>
      <c r="D3" s="398"/>
      <c r="E3" s="398"/>
      <c r="F3" s="399"/>
    </row>
    <row r="4" spans="1:6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1"/>
    </row>
    <row r="5" spans="1:6" s="38" customFormat="1" ht="75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3"/>
    </row>
    <row r="6" spans="1:6" s="38" customFormat="1" ht="15.75" customHeight="1" x14ac:dyDescent="0.25">
      <c r="A6" s="40" t="s">
        <v>3</v>
      </c>
      <c r="B6" s="41" t="s">
        <v>4</v>
      </c>
      <c r="C6" s="402" t="s">
        <v>242</v>
      </c>
      <c r="D6" s="402"/>
      <c r="E6" s="402"/>
      <c r="F6" s="403"/>
    </row>
    <row r="7" spans="1:6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3"/>
    </row>
    <row r="8" spans="1:6" s="38" customFormat="1" x14ac:dyDescent="0.25">
      <c r="A8" s="397" t="s">
        <v>6</v>
      </c>
      <c r="B8" s="398"/>
      <c r="C8" s="398"/>
      <c r="D8" s="398"/>
      <c r="E8" s="398"/>
      <c r="F8" s="399"/>
    </row>
    <row r="9" spans="1:6" s="38" customFormat="1" x14ac:dyDescent="0.25">
      <c r="A9" s="397" t="s">
        <v>7</v>
      </c>
      <c r="B9" s="398"/>
      <c r="C9" s="398"/>
      <c r="D9" s="398"/>
      <c r="E9" s="398"/>
      <c r="F9" s="399"/>
    </row>
    <row r="10" spans="1:6" s="38" customFormat="1" ht="15.75" customHeight="1" x14ac:dyDescent="0.25">
      <c r="A10" s="397" t="s">
        <v>8</v>
      </c>
      <c r="B10" s="398"/>
      <c r="C10" s="398"/>
      <c r="D10" s="398"/>
      <c r="E10" s="398"/>
      <c r="F10" s="399"/>
    </row>
    <row r="11" spans="1:6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5"/>
    </row>
    <row r="12" spans="1:6" s="38" customFormat="1" ht="60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5"/>
    </row>
    <row r="13" spans="1:6" s="38" customFormat="1" ht="30" customHeight="1" x14ac:dyDescent="0.25">
      <c r="A13" s="40">
        <v>2</v>
      </c>
      <c r="B13" s="42" t="s">
        <v>11</v>
      </c>
      <c r="C13" s="447">
        <v>3325</v>
      </c>
      <c r="D13" s="447"/>
      <c r="E13" s="447"/>
      <c r="F13" s="448"/>
    </row>
    <row r="14" spans="1:6" s="38" customFormat="1" ht="15.75" customHeight="1" x14ac:dyDescent="0.25">
      <c r="A14" s="40">
        <v>3</v>
      </c>
      <c r="B14" s="42" t="s">
        <v>12</v>
      </c>
      <c r="C14" s="414" t="s">
        <v>236</v>
      </c>
      <c r="D14" s="414"/>
      <c r="E14" s="414"/>
      <c r="F14" s="415"/>
    </row>
    <row r="15" spans="1:6" s="38" customFormat="1" x14ac:dyDescent="0.25">
      <c r="A15" s="40">
        <v>4</v>
      </c>
      <c r="B15" s="43" t="s">
        <v>13</v>
      </c>
      <c r="C15" s="404"/>
      <c r="D15" s="404"/>
      <c r="E15" s="404"/>
      <c r="F15" s="405"/>
    </row>
    <row r="16" spans="1:6" s="39" customFormat="1" x14ac:dyDescent="0.25">
      <c r="A16" s="416" t="s">
        <v>14</v>
      </c>
      <c r="B16" s="417"/>
      <c r="C16" s="417"/>
      <c r="D16" s="250" t="s">
        <v>270</v>
      </c>
      <c r="E16" s="148" t="s">
        <v>272</v>
      </c>
      <c r="F16" s="261" t="s">
        <v>312</v>
      </c>
    </row>
    <row r="17" spans="1:6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8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3325</v>
      </c>
      <c r="E18" s="74">
        <f>C13</f>
        <v>3325</v>
      </c>
      <c r="F18" s="59">
        <f>C13</f>
        <v>3325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60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6">
        <f>40%*1412</f>
        <v>564.79999999999995</v>
      </c>
      <c r="E20" s="76">
        <f>40%*1412</f>
        <v>564.79999999999995</v>
      </c>
      <c r="F20" s="60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6">
        <f>((((D18+D20)/220)*20%)*8)*15.21</f>
        <v>430.28</v>
      </c>
      <c r="E21" s="76">
        <f>((((E18+E20)/220)*20%)*8)*15.21</f>
        <v>430.28</v>
      </c>
      <c r="F21" s="60">
        <f>((((F18+F20)/220)*20%)*8)*15.21</f>
        <v>430.28</v>
      </c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60"/>
    </row>
    <row r="23" spans="1:6" s="38" customFormat="1" x14ac:dyDescent="0.25">
      <c r="A23" s="44" t="s">
        <v>21</v>
      </c>
      <c r="B23" s="45" t="s">
        <v>138</v>
      </c>
      <c r="C23" s="48"/>
      <c r="D23" s="76"/>
      <c r="E23" s="76"/>
      <c r="F23" s="60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60"/>
    </row>
    <row r="25" spans="1:6" s="39" customFormat="1" ht="15.75" customHeight="1" x14ac:dyDescent="0.25">
      <c r="A25" s="368" t="s">
        <v>152</v>
      </c>
      <c r="B25" s="369"/>
      <c r="C25" s="369"/>
      <c r="D25" s="65">
        <f>SUM(D18:D24)</f>
        <v>4320.08</v>
      </c>
      <c r="E25" s="65">
        <f>SUM(E18:E24)</f>
        <v>4320.08</v>
      </c>
      <c r="F25" s="61">
        <f>SUM(F18:F24)</f>
        <v>4320.08</v>
      </c>
    </row>
    <row r="26" spans="1:6" s="39" customFormat="1" x14ac:dyDescent="0.25">
      <c r="A26" s="416" t="s">
        <v>51</v>
      </c>
      <c r="B26" s="417"/>
      <c r="C26" s="238"/>
      <c r="D26" s="238"/>
      <c r="E26" s="238"/>
      <c r="F26" s="239"/>
    </row>
    <row r="27" spans="1:6" s="38" customFormat="1" x14ac:dyDescent="0.25">
      <c r="A27" s="251" t="s">
        <v>141</v>
      </c>
      <c r="B27" s="376" t="s">
        <v>205</v>
      </c>
      <c r="C27" s="378"/>
      <c r="D27" s="68" t="s">
        <v>10</v>
      </c>
      <c r="E27" s="68" t="s">
        <v>10</v>
      </c>
      <c r="F27" s="152" t="s">
        <v>10</v>
      </c>
    </row>
    <row r="28" spans="1:6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359.86</v>
      </c>
      <c r="E28" s="77">
        <f>(E25)*C28</f>
        <v>359.86</v>
      </c>
      <c r="F28" s="62">
        <f>(F25)*C28</f>
        <v>359.86</v>
      </c>
    </row>
    <row r="29" spans="1:6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479.96</v>
      </c>
      <c r="E29" s="77">
        <f>(E25)*C29</f>
        <v>479.96</v>
      </c>
      <c r="F29" s="62">
        <f>(F25)*C29</f>
        <v>479.96</v>
      </c>
    </row>
    <row r="30" spans="1:6" x14ac:dyDescent="0.25">
      <c r="A30" s="366" t="s">
        <v>27</v>
      </c>
      <c r="B30" s="367"/>
      <c r="C30" s="91">
        <f>SUM(C28:C29)</f>
        <v>0.19439999999999999</v>
      </c>
      <c r="D30" s="79">
        <f>SUM(D28:D29)</f>
        <v>839.82</v>
      </c>
      <c r="E30" s="79">
        <f>SUM(E28:E29)</f>
        <v>839.82</v>
      </c>
      <c r="F30" s="63">
        <f>SUM(F28:F29)</f>
        <v>839.82</v>
      </c>
    </row>
    <row r="31" spans="1:6" ht="32.25" customHeight="1" x14ac:dyDescent="0.25">
      <c r="A31" s="411" t="s">
        <v>190</v>
      </c>
      <c r="B31" s="412"/>
      <c r="C31" s="412"/>
      <c r="D31" s="412"/>
      <c r="E31" s="412"/>
      <c r="F31" s="413"/>
    </row>
    <row r="32" spans="1:6" x14ac:dyDescent="0.25">
      <c r="A32" s="246" t="s">
        <v>141</v>
      </c>
      <c r="B32" s="428" t="s">
        <v>25</v>
      </c>
      <c r="C32" s="429"/>
      <c r="D32" s="69" t="s">
        <v>10</v>
      </c>
      <c r="E32" s="69" t="s">
        <v>10</v>
      </c>
      <c r="F32" s="151" t="s">
        <v>10</v>
      </c>
    </row>
    <row r="33" spans="1:6" x14ac:dyDescent="0.25">
      <c r="A33" s="49" t="s">
        <v>0</v>
      </c>
      <c r="B33" s="80" t="s">
        <v>207</v>
      </c>
      <c r="C33" s="55">
        <v>0.2</v>
      </c>
      <c r="D33" s="77">
        <f t="shared" ref="D33:D40" si="0">($E$25+D$30)*C33</f>
        <v>1031.98</v>
      </c>
      <c r="E33" s="77">
        <f t="shared" ref="E33:E40" si="1">($E$25+E$30)*C33</f>
        <v>1031.98</v>
      </c>
      <c r="F33" s="62">
        <f t="shared" ref="F33:F40" si="2">($F$25+F$30)*C33</f>
        <v>1031.98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77.400000000000006</v>
      </c>
      <c r="E34" s="77">
        <f t="shared" si="1"/>
        <v>77.400000000000006</v>
      </c>
      <c r="F34" s="62">
        <f t="shared" si="2"/>
        <v>77.400000000000006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 t="shared" si="0"/>
        <v>51.6</v>
      </c>
      <c r="E35" s="77">
        <f t="shared" si="1"/>
        <v>51.6</v>
      </c>
      <c r="F35" s="62">
        <f t="shared" si="2"/>
        <v>51.6</v>
      </c>
    </row>
    <row r="36" spans="1:6" ht="31.5" x14ac:dyDescent="0.25">
      <c r="A36" s="49" t="s">
        <v>5</v>
      </c>
      <c r="B36" s="249" t="s">
        <v>210</v>
      </c>
      <c r="C36" s="81">
        <v>2E-3</v>
      </c>
      <c r="D36" s="77">
        <f t="shared" si="0"/>
        <v>10.32</v>
      </c>
      <c r="E36" s="77">
        <f t="shared" si="1"/>
        <v>10.32</v>
      </c>
      <c r="F36" s="62">
        <f t="shared" si="2"/>
        <v>10.32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129</v>
      </c>
      <c r="E37" s="77">
        <f t="shared" si="1"/>
        <v>129</v>
      </c>
      <c r="F37" s="62">
        <f t="shared" si="2"/>
        <v>129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 t="shared" si="0"/>
        <v>412.79</v>
      </c>
      <c r="E38" s="77">
        <f t="shared" si="1"/>
        <v>412.79</v>
      </c>
      <c r="F38" s="62">
        <f t="shared" si="2"/>
        <v>412.79</v>
      </c>
    </row>
    <row r="39" spans="1:6" ht="47.25" x14ac:dyDescent="0.25">
      <c r="A39" s="49" t="s">
        <v>22</v>
      </c>
      <c r="B39" s="249" t="s">
        <v>213</v>
      </c>
      <c r="C39" s="81">
        <v>0.03</v>
      </c>
      <c r="D39" s="77">
        <f t="shared" si="0"/>
        <v>154.80000000000001</v>
      </c>
      <c r="E39" s="77">
        <f t="shared" si="1"/>
        <v>154.80000000000001</v>
      </c>
      <c r="F39" s="62">
        <f t="shared" si="2"/>
        <v>154.80000000000001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30.96</v>
      </c>
      <c r="E40" s="77">
        <f t="shared" si="1"/>
        <v>30.96</v>
      </c>
      <c r="F40" s="62">
        <f t="shared" si="2"/>
        <v>30.96</v>
      </c>
    </row>
    <row r="41" spans="1:6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1898.85</v>
      </c>
      <c r="E41" s="79">
        <f>SUM(E33:E40)</f>
        <v>1898.85</v>
      </c>
      <c r="F41" s="63">
        <f>SUM(F33:F40)</f>
        <v>1898.85</v>
      </c>
    </row>
    <row r="42" spans="1:6" s="30" customFormat="1" x14ac:dyDescent="0.25">
      <c r="A42" s="370" t="s">
        <v>173</v>
      </c>
      <c r="B42" s="371"/>
      <c r="C42" s="371"/>
      <c r="D42" s="226"/>
      <c r="E42" s="226"/>
      <c r="F42" s="227"/>
    </row>
    <row r="43" spans="1:6" s="30" customFormat="1" x14ac:dyDescent="0.25">
      <c r="A43" s="73" t="s">
        <v>216</v>
      </c>
      <c r="B43" s="256" t="s">
        <v>217</v>
      </c>
      <c r="C43" s="104"/>
      <c r="D43" s="104"/>
      <c r="E43" s="104"/>
      <c r="F43" s="164"/>
    </row>
    <row r="44" spans="1:6" s="30" customFormat="1" x14ac:dyDescent="0.25">
      <c r="A44" s="90" t="s">
        <v>0</v>
      </c>
      <c r="B44" s="53" t="s">
        <v>144</v>
      </c>
      <c r="C44" s="105"/>
      <c r="D44" s="101">
        <v>0</v>
      </c>
      <c r="E44" s="101">
        <v>0</v>
      </c>
      <c r="F44" s="242">
        <v>0</v>
      </c>
    </row>
    <row r="45" spans="1:6" s="30" customFormat="1" x14ac:dyDescent="0.25">
      <c r="A45" s="47" t="s">
        <v>2</v>
      </c>
      <c r="B45" s="46" t="s">
        <v>191</v>
      </c>
      <c r="C45" s="72"/>
      <c r="D45" s="74">
        <v>0</v>
      </c>
      <c r="E45" s="74">
        <v>0</v>
      </c>
      <c r="F45" s="59">
        <v>0</v>
      </c>
    </row>
    <row r="46" spans="1:6" s="30" customFormat="1" x14ac:dyDescent="0.25">
      <c r="A46" s="49" t="s">
        <v>3</v>
      </c>
      <c r="B46" s="50" t="s">
        <v>134</v>
      </c>
      <c r="C46" s="66"/>
      <c r="D46" s="84">
        <v>0</v>
      </c>
      <c r="E46" s="84">
        <v>0</v>
      </c>
      <c r="F46" s="165">
        <v>0</v>
      </c>
    </row>
    <row r="47" spans="1:6" s="30" customFormat="1" x14ac:dyDescent="0.25">
      <c r="A47" s="49" t="s">
        <v>5</v>
      </c>
      <c r="B47" s="50" t="s">
        <v>135</v>
      </c>
      <c r="C47" s="55"/>
      <c r="D47" s="84">
        <f>(D18*C47*0.0199*2)/12</f>
        <v>0</v>
      </c>
      <c r="E47" s="84">
        <f>(E18*C47*0.0199*2)/12</f>
        <v>0</v>
      </c>
      <c r="F47" s="165">
        <f>(F18*D47*0.0199*2)/12</f>
        <v>0</v>
      </c>
    </row>
    <row r="48" spans="1:6" s="30" customFormat="1" x14ac:dyDescent="0.25">
      <c r="A48" s="49" t="s">
        <v>20</v>
      </c>
      <c r="B48" s="50" t="s">
        <v>136</v>
      </c>
      <c r="C48" s="66"/>
      <c r="D48" s="77">
        <v>0</v>
      </c>
      <c r="E48" s="77">
        <v>0</v>
      </c>
      <c r="F48" s="62">
        <v>0</v>
      </c>
    </row>
    <row r="49" spans="1:6" s="30" customFormat="1" ht="15.75" customHeight="1" x14ac:dyDescent="0.25">
      <c r="A49" s="366" t="s">
        <v>23</v>
      </c>
      <c r="B49" s="367"/>
      <c r="C49" s="367"/>
      <c r="D49" s="79">
        <f>SUM(D44:D48)</f>
        <v>0</v>
      </c>
      <c r="E49" s="79">
        <f>SUM(E44:E48)</f>
        <v>0</v>
      </c>
      <c r="F49" s="63">
        <f>SUM(F44:F48)</f>
        <v>0</v>
      </c>
    </row>
    <row r="50" spans="1:6" s="30" customFormat="1" ht="15.75" customHeight="1" x14ac:dyDescent="0.25">
      <c r="A50" s="370" t="s">
        <v>224</v>
      </c>
      <c r="B50" s="371"/>
      <c r="C50" s="371"/>
      <c r="D50" s="226"/>
      <c r="E50" s="226"/>
      <c r="F50" s="227"/>
    </row>
    <row r="51" spans="1:6" s="30" customFormat="1" ht="15.75" customHeight="1" x14ac:dyDescent="0.25">
      <c r="A51" s="257" t="s">
        <v>141</v>
      </c>
      <c r="B51" s="102" t="s">
        <v>145</v>
      </c>
      <c r="C51" s="258"/>
      <c r="D51" s="64">
        <f>D30</f>
        <v>839.82</v>
      </c>
      <c r="E51" s="64">
        <f>E30</f>
        <v>839.82</v>
      </c>
      <c r="F51" s="167">
        <f>F30</f>
        <v>839.82</v>
      </c>
    </row>
    <row r="52" spans="1:6" s="30" customFormat="1" ht="15.75" customHeight="1" x14ac:dyDescent="0.25">
      <c r="A52" s="257" t="s">
        <v>215</v>
      </c>
      <c r="B52" s="102" t="s">
        <v>146</v>
      </c>
      <c r="C52" s="258"/>
      <c r="D52" s="64">
        <f>D41</f>
        <v>1898.85</v>
      </c>
      <c r="E52" s="64">
        <f>E41</f>
        <v>1898.85</v>
      </c>
      <c r="F52" s="167">
        <f>F41</f>
        <v>1898.85</v>
      </c>
    </row>
    <row r="53" spans="1:6" s="30" customFormat="1" ht="15.75" customHeight="1" x14ac:dyDescent="0.25">
      <c r="A53" s="257" t="s">
        <v>216</v>
      </c>
      <c r="B53" s="102" t="s">
        <v>147</v>
      </c>
      <c r="C53" s="258"/>
      <c r="D53" s="64">
        <f>D49</f>
        <v>0</v>
      </c>
      <c r="E53" s="64">
        <f>E49</f>
        <v>0</v>
      </c>
      <c r="F53" s="167">
        <f>F49</f>
        <v>0</v>
      </c>
    </row>
    <row r="54" spans="1:6" s="30" customFormat="1" ht="15.75" customHeight="1" x14ac:dyDescent="0.25">
      <c r="A54" s="368" t="s">
        <v>153</v>
      </c>
      <c r="B54" s="369"/>
      <c r="C54" s="369"/>
      <c r="D54" s="65">
        <f>SUM(D51:D53)</f>
        <v>2738.67</v>
      </c>
      <c r="E54" s="65">
        <f>SUM(E51:E53)</f>
        <v>2738.67</v>
      </c>
      <c r="F54" s="61">
        <f>SUM(F51:F53)</f>
        <v>2738.67</v>
      </c>
    </row>
    <row r="55" spans="1:6" s="30" customFormat="1" ht="15.75" customHeight="1" x14ac:dyDescent="0.25">
      <c r="A55" s="416" t="s">
        <v>162</v>
      </c>
      <c r="B55" s="417"/>
      <c r="C55" s="417"/>
      <c r="D55" s="238"/>
      <c r="E55" s="238"/>
      <c r="F55" s="239"/>
    </row>
    <row r="56" spans="1:6" s="30" customFormat="1" ht="15.75" customHeight="1" x14ac:dyDescent="0.25">
      <c r="A56" s="251" t="s">
        <v>200</v>
      </c>
      <c r="B56" s="376" t="s">
        <v>32</v>
      </c>
      <c r="C56" s="377"/>
      <c r="D56" s="68" t="s">
        <v>10</v>
      </c>
      <c r="E56" s="68" t="s">
        <v>10</v>
      </c>
      <c r="F56" s="152" t="s">
        <v>10</v>
      </c>
    </row>
    <row r="57" spans="1:6" s="30" customFormat="1" ht="15.75" customHeight="1" x14ac:dyDescent="0.25">
      <c r="A57" s="49" t="s">
        <v>0</v>
      </c>
      <c r="B57" s="50" t="s">
        <v>33</v>
      </c>
      <c r="C57" s="55">
        <v>4.5999999999999999E-3</v>
      </c>
      <c r="D57" s="77">
        <f>D$25*C57</f>
        <v>19.87</v>
      </c>
      <c r="E57" s="77">
        <f>E$25*C57</f>
        <v>19.87</v>
      </c>
      <c r="F57" s="62">
        <f>F$25*C57</f>
        <v>19.87</v>
      </c>
    </row>
    <row r="58" spans="1:6" s="30" customFormat="1" ht="15.75" customHeight="1" x14ac:dyDescent="0.25">
      <c r="A58" s="49" t="s">
        <v>2</v>
      </c>
      <c r="B58" s="50" t="s">
        <v>34</v>
      </c>
      <c r="C58" s="55">
        <v>4.0000000000000002E-4</v>
      </c>
      <c r="D58" s="77">
        <f>D$25*C58</f>
        <v>1.73</v>
      </c>
      <c r="E58" s="77">
        <f>E$25*C58</f>
        <v>1.73</v>
      </c>
      <c r="F58" s="62">
        <f>F$25*C58</f>
        <v>1.73</v>
      </c>
    </row>
    <row r="59" spans="1:6" s="30" customFormat="1" ht="15.75" customHeight="1" x14ac:dyDescent="0.25">
      <c r="A59" s="49" t="s">
        <v>3</v>
      </c>
      <c r="B59" s="52" t="s">
        <v>35</v>
      </c>
      <c r="C59" s="55">
        <v>1.9400000000000001E-2</v>
      </c>
      <c r="D59" s="77">
        <f>D$25*C59</f>
        <v>83.81</v>
      </c>
      <c r="E59" s="77">
        <f>E$25*C59</f>
        <v>83.81</v>
      </c>
      <c r="F59" s="62">
        <f>F$25*C59</f>
        <v>83.81</v>
      </c>
    </row>
    <row r="60" spans="1:6" s="30" customFormat="1" ht="30.75" customHeight="1" x14ac:dyDescent="0.25">
      <c r="A60" s="49" t="s">
        <v>5</v>
      </c>
      <c r="B60" s="50" t="s">
        <v>174</v>
      </c>
      <c r="C60" s="55">
        <v>7.1000000000000004E-3</v>
      </c>
      <c r="D60" s="77">
        <f>D$25*C60</f>
        <v>30.67</v>
      </c>
      <c r="E60" s="77">
        <f>E$25*C60</f>
        <v>30.67</v>
      </c>
      <c r="F60" s="62">
        <f>F$25*C60</f>
        <v>30.67</v>
      </c>
    </row>
    <row r="61" spans="1:6" s="30" customFormat="1" ht="15.75" customHeight="1" x14ac:dyDescent="0.25">
      <c r="A61" s="49" t="s">
        <v>20</v>
      </c>
      <c r="B61" s="50" t="s">
        <v>149</v>
      </c>
      <c r="C61" s="55">
        <v>0.04</v>
      </c>
      <c r="D61" s="77">
        <f>D$25*C61</f>
        <v>172.8</v>
      </c>
      <c r="E61" s="77">
        <f>E$25*C61</f>
        <v>172.8</v>
      </c>
      <c r="F61" s="62">
        <f>F$25*C61</f>
        <v>172.8</v>
      </c>
    </row>
    <row r="62" spans="1:6" s="30" customFormat="1" x14ac:dyDescent="0.25">
      <c r="A62" s="368" t="s">
        <v>154</v>
      </c>
      <c r="B62" s="369"/>
      <c r="C62" s="369"/>
      <c r="D62" s="65">
        <f>SUM(D57:D61)</f>
        <v>308.88</v>
      </c>
      <c r="E62" s="65">
        <f>SUM(E57:E61)</f>
        <v>308.88</v>
      </c>
      <c r="F62" s="61">
        <f>SUM(F57:F61)</f>
        <v>308.88</v>
      </c>
    </row>
    <row r="63" spans="1:6" s="30" customFormat="1" x14ac:dyDescent="0.25">
      <c r="A63" s="416" t="s">
        <v>163</v>
      </c>
      <c r="B63" s="417"/>
      <c r="C63" s="417"/>
      <c r="D63" s="238"/>
      <c r="E63" s="238"/>
      <c r="F63" s="239"/>
    </row>
    <row r="64" spans="1:6" s="30" customFormat="1" x14ac:dyDescent="0.25">
      <c r="A64" s="251" t="s">
        <v>199</v>
      </c>
      <c r="B64" s="380" t="s">
        <v>198</v>
      </c>
      <c r="C64" s="380"/>
      <c r="D64" s="68" t="s">
        <v>10</v>
      </c>
      <c r="E64" s="68" t="s">
        <v>10</v>
      </c>
      <c r="F64" s="152" t="s">
        <v>10</v>
      </c>
    </row>
    <row r="65" spans="1:6" s="30" customFormat="1" x14ac:dyDescent="0.25">
      <c r="A65" s="49" t="s">
        <v>0</v>
      </c>
      <c r="B65" s="50" t="s">
        <v>192</v>
      </c>
      <c r="C65" s="55">
        <v>9.2999999999999992E-3</v>
      </c>
      <c r="D65" s="77">
        <f t="shared" ref="D65:D70" si="3">(D$25+D$54+D$62+D$85)*C65</f>
        <v>68.86</v>
      </c>
      <c r="E65" s="77">
        <f t="shared" ref="E65:E70" si="4">(E$25+E$54+E$62+E$85)*C65</f>
        <v>68.86</v>
      </c>
      <c r="F65" s="62">
        <f t="shared" ref="F65:F70" si="5">(F$25+F$54+F$62+F$85)*C65</f>
        <v>68.86</v>
      </c>
    </row>
    <row r="66" spans="1:6" s="30" customFormat="1" x14ac:dyDescent="0.25">
      <c r="A66" s="49" t="s">
        <v>2</v>
      </c>
      <c r="B66" s="50" t="s">
        <v>193</v>
      </c>
      <c r="C66" s="55">
        <v>1.66E-2</v>
      </c>
      <c r="D66" s="77">
        <f t="shared" si="3"/>
        <v>122.91</v>
      </c>
      <c r="E66" s="77">
        <f t="shared" si="4"/>
        <v>122.91</v>
      </c>
      <c r="F66" s="62">
        <f t="shared" si="5"/>
        <v>122.91</v>
      </c>
    </row>
    <row r="67" spans="1:6" s="30" customFormat="1" x14ac:dyDescent="0.25">
      <c r="A67" s="49" t="s">
        <v>3</v>
      </c>
      <c r="B67" s="50" t="s">
        <v>194</v>
      </c>
      <c r="C67" s="55">
        <v>2.0000000000000001E-4</v>
      </c>
      <c r="D67" s="77">
        <f t="shared" si="3"/>
        <v>1.48</v>
      </c>
      <c r="E67" s="77">
        <f t="shared" si="4"/>
        <v>1.48</v>
      </c>
      <c r="F67" s="62">
        <f t="shared" si="5"/>
        <v>1.48</v>
      </c>
    </row>
    <row r="68" spans="1:6" s="30" customFormat="1" x14ac:dyDescent="0.25">
      <c r="A68" s="49" t="s">
        <v>5</v>
      </c>
      <c r="B68" s="50" t="s">
        <v>195</v>
      </c>
      <c r="C68" s="55">
        <v>2.7000000000000001E-3</v>
      </c>
      <c r="D68" s="77">
        <f t="shared" si="3"/>
        <v>19.989999999999998</v>
      </c>
      <c r="E68" s="77">
        <f t="shared" si="4"/>
        <v>19.989999999999998</v>
      </c>
      <c r="F68" s="62">
        <f t="shared" si="5"/>
        <v>19.989999999999998</v>
      </c>
    </row>
    <row r="69" spans="1:6" s="30" customFormat="1" x14ac:dyDescent="0.25">
      <c r="A69" s="49" t="s">
        <v>20</v>
      </c>
      <c r="B69" s="50" t="s">
        <v>196</v>
      </c>
      <c r="C69" s="55">
        <v>2.9999999999999997E-4</v>
      </c>
      <c r="D69" s="77">
        <f t="shared" si="3"/>
        <v>2.2200000000000002</v>
      </c>
      <c r="E69" s="77">
        <f t="shared" si="4"/>
        <v>2.2200000000000002</v>
      </c>
      <c r="F69" s="62">
        <f t="shared" si="5"/>
        <v>2.2200000000000002</v>
      </c>
    </row>
    <row r="70" spans="1:6" s="30" customFormat="1" ht="15.75" customHeight="1" x14ac:dyDescent="0.25">
      <c r="A70" s="49" t="s">
        <v>21</v>
      </c>
      <c r="B70" s="254" t="s">
        <v>197</v>
      </c>
      <c r="C70" s="55">
        <v>0</v>
      </c>
      <c r="D70" s="77">
        <f t="shared" si="3"/>
        <v>0</v>
      </c>
      <c r="E70" s="77">
        <f t="shared" si="4"/>
        <v>0</v>
      </c>
      <c r="F70" s="62">
        <f t="shared" si="5"/>
        <v>0</v>
      </c>
    </row>
    <row r="71" spans="1:6" s="30" customFormat="1" x14ac:dyDescent="0.25">
      <c r="A71" s="366" t="s">
        <v>29</v>
      </c>
      <c r="B71" s="367"/>
      <c r="C71" s="56">
        <f>SUM(C65:C70)</f>
        <v>2.9100000000000001E-2</v>
      </c>
      <c r="D71" s="79">
        <f>SUM(D65:D70)</f>
        <v>215.46</v>
      </c>
      <c r="E71" s="79">
        <f>SUM(E65:E70)</f>
        <v>215.46</v>
      </c>
      <c r="F71" s="63">
        <f>SUM(F65:F70)</f>
        <v>215.46</v>
      </c>
    </row>
    <row r="72" spans="1:6" s="30" customFormat="1" x14ac:dyDescent="0.25">
      <c r="A72" s="257"/>
      <c r="B72" s="258"/>
      <c r="C72" s="71"/>
      <c r="D72" s="71"/>
      <c r="E72" s="74"/>
      <c r="F72" s="59"/>
    </row>
    <row r="73" spans="1:6" s="30" customFormat="1" x14ac:dyDescent="0.25">
      <c r="A73" s="257"/>
      <c r="B73" s="374" t="s">
        <v>201</v>
      </c>
      <c r="C73" s="375"/>
      <c r="D73" s="68" t="s">
        <v>10</v>
      </c>
      <c r="E73" s="68" t="s">
        <v>10</v>
      </c>
      <c r="F73" s="152" t="s">
        <v>10</v>
      </c>
    </row>
    <row r="74" spans="1:6" s="30" customFormat="1" x14ac:dyDescent="0.25">
      <c r="A74" s="49" t="s">
        <v>0</v>
      </c>
      <c r="B74" s="50" t="s">
        <v>202</v>
      </c>
      <c r="C74" s="55">
        <v>0</v>
      </c>
      <c r="D74" s="77">
        <f>(D$25+D$54+D$62)*C74</f>
        <v>0</v>
      </c>
      <c r="E74" s="77">
        <f>(E$25+E$54+E$62)*C74</f>
        <v>0</v>
      </c>
      <c r="F74" s="62">
        <f>(F$25+F$54+F$62)*C74</f>
        <v>0</v>
      </c>
    </row>
    <row r="75" spans="1:6" s="30" customFormat="1" ht="15.75" customHeight="1" x14ac:dyDescent="0.25">
      <c r="A75" s="366" t="s">
        <v>27</v>
      </c>
      <c r="B75" s="367"/>
      <c r="C75" s="93">
        <f>C74</f>
        <v>0</v>
      </c>
      <c r="D75" s="79">
        <f>D74</f>
        <v>0</v>
      </c>
      <c r="E75" s="79">
        <f>E74</f>
        <v>0</v>
      </c>
      <c r="F75" s="63">
        <f>F74</f>
        <v>0</v>
      </c>
    </row>
    <row r="76" spans="1:6" s="30" customFormat="1" ht="15.75" customHeight="1" x14ac:dyDescent="0.25">
      <c r="A76" s="370" t="s">
        <v>30</v>
      </c>
      <c r="B76" s="371"/>
      <c r="C76" s="371"/>
      <c r="D76" s="226"/>
      <c r="E76" s="226"/>
      <c r="F76" s="227"/>
    </row>
    <row r="77" spans="1:6" s="30" customFormat="1" ht="15.75" customHeight="1" x14ac:dyDescent="0.25">
      <c r="A77" s="432" t="s">
        <v>203</v>
      </c>
      <c r="B77" s="433"/>
      <c r="C77" s="433"/>
      <c r="D77" s="98"/>
      <c r="E77" s="98"/>
      <c r="F77" s="241"/>
    </row>
    <row r="78" spans="1:6" s="30" customFormat="1" ht="15.75" customHeight="1" x14ac:dyDescent="0.25">
      <c r="A78" s="251">
        <v>4</v>
      </c>
      <c r="B78" s="376" t="s">
        <v>31</v>
      </c>
      <c r="C78" s="377"/>
      <c r="D78" s="68" t="s">
        <v>10</v>
      </c>
      <c r="E78" s="68" t="s">
        <v>10</v>
      </c>
      <c r="F78" s="152" t="s">
        <v>10</v>
      </c>
    </row>
    <row r="79" spans="1:6" s="30" customFormat="1" ht="15.75" customHeight="1" x14ac:dyDescent="0.25">
      <c r="A79" s="49" t="s">
        <v>199</v>
      </c>
      <c r="B79" s="254" t="s">
        <v>198</v>
      </c>
      <c r="C79" s="55">
        <f>C71</f>
        <v>2.9100000000000001E-2</v>
      </c>
      <c r="D79" s="77">
        <f>D71</f>
        <v>215.46</v>
      </c>
      <c r="E79" s="77">
        <f>E71</f>
        <v>215.46</v>
      </c>
      <c r="F79" s="62">
        <f>F71</f>
        <v>215.46</v>
      </c>
    </row>
    <row r="80" spans="1:6" s="30" customFormat="1" ht="15.75" customHeight="1" x14ac:dyDescent="0.25">
      <c r="A80" s="49" t="s">
        <v>221</v>
      </c>
      <c r="B80" s="254" t="s">
        <v>201</v>
      </c>
      <c r="C80" s="55">
        <v>0</v>
      </c>
      <c r="D80" s="77">
        <f>(D$25+D$54+D$62)*C80</f>
        <v>0</v>
      </c>
      <c r="E80" s="77">
        <f>(E$25+E$54+E$62)*C80</f>
        <v>0</v>
      </c>
      <c r="F80" s="62">
        <f>(F$25+F$54+F$62)*C80</f>
        <v>0</v>
      </c>
    </row>
    <row r="81" spans="1:6" s="30" customFormat="1" ht="15.75" customHeight="1" x14ac:dyDescent="0.25">
      <c r="A81" s="366" t="s">
        <v>27</v>
      </c>
      <c r="B81" s="367"/>
      <c r="C81" s="91">
        <f>SUM(C79:C80)</f>
        <v>2.9100000000000001E-2</v>
      </c>
      <c r="D81" s="79">
        <f>SUM(D79:D80)</f>
        <v>215.46</v>
      </c>
      <c r="E81" s="79">
        <f>SUM(E79:E80)</f>
        <v>215.46</v>
      </c>
      <c r="F81" s="63">
        <f>SUM(F79:F80)</f>
        <v>215.46</v>
      </c>
    </row>
    <row r="82" spans="1:6" s="30" customFormat="1" ht="15.75" customHeight="1" x14ac:dyDescent="0.25">
      <c r="A82" s="368" t="s">
        <v>155</v>
      </c>
      <c r="B82" s="369"/>
      <c r="C82" s="369"/>
      <c r="D82" s="65">
        <f>SUM(D75+D81)</f>
        <v>215.46</v>
      </c>
      <c r="E82" s="65">
        <f>SUM(E75+E81)</f>
        <v>215.46</v>
      </c>
      <c r="F82" s="61">
        <f>SUM(F75+F81)</f>
        <v>215.46</v>
      </c>
    </row>
    <row r="83" spans="1:6" s="30" customFormat="1" ht="15.75" customHeight="1" x14ac:dyDescent="0.25">
      <c r="A83" s="416" t="s">
        <v>164</v>
      </c>
      <c r="B83" s="417"/>
      <c r="C83" s="417"/>
      <c r="D83" s="238"/>
      <c r="E83" s="238"/>
      <c r="F83" s="239"/>
    </row>
    <row r="84" spans="1:6" s="30" customFormat="1" ht="15.75" customHeight="1" x14ac:dyDescent="0.25">
      <c r="A84" s="251">
        <v>5</v>
      </c>
      <c r="B84" s="376" t="s">
        <v>24</v>
      </c>
      <c r="C84" s="377"/>
      <c r="D84" s="68" t="s">
        <v>10</v>
      </c>
      <c r="E84" s="68" t="s">
        <v>10</v>
      </c>
      <c r="F84" s="152" t="s">
        <v>10</v>
      </c>
    </row>
    <row r="85" spans="1:6" s="30" customFormat="1" ht="15.75" customHeight="1" x14ac:dyDescent="0.25">
      <c r="A85" s="47" t="s">
        <v>0</v>
      </c>
      <c r="B85" s="390" t="s">
        <v>222</v>
      </c>
      <c r="C85" s="390"/>
      <c r="D85" s="77">
        <f>Uniformes!H7</f>
        <v>36.619999999999997</v>
      </c>
      <c r="E85" s="77">
        <f>Uniformes!H7</f>
        <v>36.619999999999997</v>
      </c>
      <c r="F85" s="59">
        <f>Uniformes!H7</f>
        <v>36.619999999999997</v>
      </c>
    </row>
    <row r="86" spans="1:6" s="30" customFormat="1" ht="15.75" customHeight="1" x14ac:dyDescent="0.25">
      <c r="A86" s="47" t="s">
        <v>2</v>
      </c>
      <c r="B86" s="390" t="s">
        <v>223</v>
      </c>
      <c r="C86" s="390"/>
      <c r="D86" s="77">
        <f>Materiais!H18</f>
        <v>64.819999999999993</v>
      </c>
      <c r="E86" s="77">
        <f>Materiais!H19</f>
        <v>64.819999999999993</v>
      </c>
      <c r="F86" s="59">
        <f>Materiais!H23</f>
        <v>64.819999999999993</v>
      </c>
    </row>
    <row r="87" spans="1:6" s="30" customFormat="1" ht="15.75" customHeight="1" x14ac:dyDescent="0.25">
      <c r="A87" s="47" t="s">
        <v>3</v>
      </c>
      <c r="B87" s="390" t="s">
        <v>187</v>
      </c>
      <c r="C87" s="390"/>
      <c r="D87" s="77">
        <f>Equipamentos!H18</f>
        <v>1312.5</v>
      </c>
      <c r="E87" s="77">
        <f>Equipamentos!H19</f>
        <v>1312.5</v>
      </c>
      <c r="F87" s="59">
        <f>Equipamentos!H23</f>
        <v>1312.5</v>
      </c>
    </row>
    <row r="88" spans="1:6" s="30" customFormat="1" ht="15.75" customHeight="1" x14ac:dyDescent="0.25">
      <c r="A88" s="47" t="s">
        <v>5</v>
      </c>
      <c r="B88" s="390" t="s">
        <v>137</v>
      </c>
      <c r="C88" s="390"/>
      <c r="D88" s="77">
        <v>0</v>
      </c>
      <c r="E88" s="77">
        <v>0</v>
      </c>
      <c r="F88" s="62">
        <v>0</v>
      </c>
    </row>
    <row r="89" spans="1:6" s="30" customFormat="1" ht="15.75" customHeight="1" x14ac:dyDescent="0.25">
      <c r="A89" s="368" t="s">
        <v>156</v>
      </c>
      <c r="B89" s="369"/>
      <c r="C89" s="369"/>
      <c r="D89" s="65">
        <f>SUM(D85:D88)</f>
        <v>1413.94</v>
      </c>
      <c r="E89" s="65">
        <f>SUM(E85:E88)</f>
        <v>1413.94</v>
      </c>
      <c r="F89" s="61">
        <f>SUM(F85:F88)</f>
        <v>1413.94</v>
      </c>
    </row>
    <row r="90" spans="1:6" s="30" customFormat="1" ht="30" customHeight="1" x14ac:dyDescent="0.25">
      <c r="A90" s="389" t="s">
        <v>225</v>
      </c>
      <c r="B90" s="379"/>
      <c r="C90" s="379"/>
      <c r="D90" s="144">
        <f>D89+D82+D62+D54+D25</f>
        <v>8997.0300000000007</v>
      </c>
      <c r="E90" s="144">
        <f>E89+E82+E62+E54+E25</f>
        <v>8997.0300000000007</v>
      </c>
      <c r="F90" s="201">
        <f>F89+F82+F62+F54+F25</f>
        <v>8997.0300000000007</v>
      </c>
    </row>
    <row r="91" spans="1:6" s="30" customFormat="1" ht="19.5" customHeight="1" x14ac:dyDescent="0.25">
      <c r="A91" s="416" t="s">
        <v>165</v>
      </c>
      <c r="B91" s="417"/>
      <c r="C91" s="417"/>
      <c r="D91" s="238"/>
      <c r="E91" s="238"/>
      <c r="F91" s="239"/>
    </row>
    <row r="92" spans="1:6" s="30" customFormat="1" x14ac:dyDescent="0.25">
      <c r="A92" s="251">
        <v>6</v>
      </c>
      <c r="B92" s="376" t="s">
        <v>38</v>
      </c>
      <c r="C92" s="378"/>
      <c r="D92" s="68" t="s">
        <v>10</v>
      </c>
      <c r="E92" s="68" t="s">
        <v>10</v>
      </c>
      <c r="F92" s="152" t="s">
        <v>10</v>
      </c>
    </row>
    <row r="93" spans="1:6" s="30" customFormat="1" x14ac:dyDescent="0.25">
      <c r="A93" s="251" t="s">
        <v>0</v>
      </c>
      <c r="B93" s="50" t="s">
        <v>39</v>
      </c>
      <c r="C93" s="55">
        <v>0.03</v>
      </c>
      <c r="D93" s="77">
        <f>+D90*C93</f>
        <v>269.91000000000003</v>
      </c>
      <c r="E93" s="77">
        <f>+E90*C93</f>
        <v>269.91000000000003</v>
      </c>
      <c r="F93" s="62">
        <f>+F90*C93</f>
        <v>269.91000000000003</v>
      </c>
    </row>
    <row r="94" spans="1:6" s="30" customFormat="1" x14ac:dyDescent="0.25">
      <c r="A94" s="251" t="s">
        <v>2</v>
      </c>
      <c r="B94" s="50" t="s">
        <v>40</v>
      </c>
      <c r="C94" s="55">
        <v>6.7900000000000002E-2</v>
      </c>
      <c r="D94" s="77">
        <f>C94*(+D90+D93)</f>
        <v>629.23</v>
      </c>
      <c r="E94" s="77">
        <f>C94*(+E90+E93)</f>
        <v>629.23</v>
      </c>
      <c r="F94" s="62">
        <f>C94*(+F90+F93)</f>
        <v>629.23</v>
      </c>
    </row>
    <row r="95" spans="1:6" s="30" customFormat="1" ht="31.5" x14ac:dyDescent="0.25">
      <c r="A95" s="384" t="s">
        <v>3</v>
      </c>
      <c r="B95" s="50" t="s">
        <v>50</v>
      </c>
      <c r="C95" s="55">
        <f>1-C103</f>
        <v>0.85750000000000004</v>
      </c>
      <c r="D95" s="77">
        <f>+D90+D93+D94</f>
        <v>9896.17</v>
      </c>
      <c r="E95" s="77">
        <f>+E90+E93+E94</f>
        <v>9896.17</v>
      </c>
      <c r="F95" s="62">
        <f>+F90+F93+F94</f>
        <v>9896.17</v>
      </c>
    </row>
    <row r="96" spans="1:6" s="30" customFormat="1" x14ac:dyDescent="0.25">
      <c r="A96" s="384"/>
      <c r="B96" s="254" t="s">
        <v>41</v>
      </c>
      <c r="C96" s="88"/>
      <c r="D96" s="145">
        <f>+D95/C95</f>
        <v>11540.72</v>
      </c>
      <c r="E96" s="145">
        <f>+E95/C95</f>
        <v>11540.72</v>
      </c>
      <c r="F96" s="202">
        <f>+F95/C95</f>
        <v>11540.72</v>
      </c>
    </row>
    <row r="97" spans="1:6" s="30" customFormat="1" x14ac:dyDescent="0.25">
      <c r="A97" s="384"/>
      <c r="B97" s="254" t="s">
        <v>42</v>
      </c>
      <c r="C97" s="67"/>
      <c r="D97" s="77"/>
      <c r="E97" s="77"/>
      <c r="F97" s="62"/>
    </row>
    <row r="98" spans="1:6" s="30" customFormat="1" x14ac:dyDescent="0.25">
      <c r="A98" s="384"/>
      <c r="B98" s="50" t="s">
        <v>130</v>
      </c>
      <c r="C98" s="55">
        <v>1.6500000000000001E-2</v>
      </c>
      <c r="D98" s="77">
        <f>+D96*C98</f>
        <v>190.42</v>
      </c>
      <c r="E98" s="77">
        <f>+E96*C98</f>
        <v>190.42</v>
      </c>
      <c r="F98" s="62">
        <f>+F96*C98</f>
        <v>190.42</v>
      </c>
    </row>
    <row r="99" spans="1:6" s="30" customFormat="1" x14ac:dyDescent="0.25">
      <c r="A99" s="384"/>
      <c r="B99" s="50" t="s">
        <v>131</v>
      </c>
      <c r="C99" s="55">
        <v>7.5999999999999998E-2</v>
      </c>
      <c r="D99" s="77">
        <f>+D96*C99</f>
        <v>877.09</v>
      </c>
      <c r="E99" s="77">
        <f>+E96*C99</f>
        <v>877.09</v>
      </c>
      <c r="F99" s="62">
        <f>+F96*C99</f>
        <v>877.09</v>
      </c>
    </row>
    <row r="100" spans="1:6" s="30" customFormat="1" x14ac:dyDescent="0.25">
      <c r="A100" s="384"/>
      <c r="B100" s="51" t="s">
        <v>43</v>
      </c>
      <c r="C100" s="88"/>
      <c r="D100" s="77"/>
      <c r="E100" s="77"/>
      <c r="F100" s="62"/>
    </row>
    <row r="101" spans="1:6" s="30" customFormat="1" x14ac:dyDescent="0.25">
      <c r="A101" s="384"/>
      <c r="B101" s="51" t="s">
        <v>44</v>
      </c>
      <c r="C101" s="94"/>
      <c r="D101" s="77"/>
      <c r="E101" s="77"/>
      <c r="F101" s="62"/>
    </row>
    <row r="102" spans="1:6" s="30" customFormat="1" x14ac:dyDescent="0.25">
      <c r="A102" s="384"/>
      <c r="B102" s="50" t="s">
        <v>142</v>
      </c>
      <c r="C102" s="55">
        <v>0.05</v>
      </c>
      <c r="D102" s="77">
        <f>+D96*C102</f>
        <v>577.04</v>
      </c>
      <c r="E102" s="77">
        <f>+E96*C102</f>
        <v>577.04</v>
      </c>
      <c r="F102" s="62">
        <f>+F96*C102</f>
        <v>577.04</v>
      </c>
    </row>
    <row r="103" spans="1:6" s="30" customFormat="1" x14ac:dyDescent="0.25">
      <c r="A103" s="251"/>
      <c r="B103" s="98" t="s">
        <v>45</v>
      </c>
      <c r="C103" s="99">
        <f>SUM(C98:C102)</f>
        <v>0.14249999999999999</v>
      </c>
      <c r="D103" s="77">
        <f>SUM(D98:D102)</f>
        <v>1644.55</v>
      </c>
      <c r="E103" s="77">
        <f>SUM(E98:E102)</f>
        <v>1644.55</v>
      </c>
      <c r="F103" s="62">
        <f>SUM(F98:F102)</f>
        <v>1644.55</v>
      </c>
    </row>
    <row r="104" spans="1:6" s="30" customFormat="1" ht="15.75" customHeight="1" x14ac:dyDescent="0.25">
      <c r="A104" s="366" t="s">
        <v>46</v>
      </c>
      <c r="B104" s="367"/>
      <c r="C104" s="367"/>
      <c r="D104" s="79">
        <f>+D93+D94+D103</f>
        <v>2543.69</v>
      </c>
      <c r="E104" s="79">
        <f>+E93+E94+E103</f>
        <v>2543.69</v>
      </c>
      <c r="F104" s="63">
        <f>+F93+F94+F103</f>
        <v>2543.69</v>
      </c>
    </row>
    <row r="105" spans="1:6" s="30" customFormat="1" ht="15.75" customHeight="1" x14ac:dyDescent="0.25">
      <c r="A105" s="424" t="s">
        <v>47</v>
      </c>
      <c r="B105" s="425"/>
      <c r="C105" s="425"/>
      <c r="D105" s="146" t="s">
        <v>10</v>
      </c>
      <c r="E105" s="146" t="s">
        <v>10</v>
      </c>
      <c r="F105" s="243" t="s">
        <v>10</v>
      </c>
    </row>
    <row r="106" spans="1:6" s="30" customFormat="1" x14ac:dyDescent="0.25">
      <c r="A106" s="49" t="s">
        <v>0</v>
      </c>
      <c r="B106" s="387" t="s">
        <v>48</v>
      </c>
      <c r="C106" s="387"/>
      <c r="D106" s="77">
        <f>+D25</f>
        <v>4320.08</v>
      </c>
      <c r="E106" s="77">
        <f>+E25</f>
        <v>4320.08</v>
      </c>
      <c r="F106" s="62">
        <f>+F25</f>
        <v>4320.08</v>
      </c>
    </row>
    <row r="107" spans="1:6" s="30" customFormat="1" x14ac:dyDescent="0.25">
      <c r="A107" s="49" t="s">
        <v>2</v>
      </c>
      <c r="B107" s="387" t="s">
        <v>159</v>
      </c>
      <c r="C107" s="387"/>
      <c r="D107" s="77">
        <f>+D54</f>
        <v>2738.67</v>
      </c>
      <c r="E107" s="77">
        <f>+E54</f>
        <v>2738.67</v>
      </c>
      <c r="F107" s="62">
        <f>+F54</f>
        <v>2738.67</v>
      </c>
    </row>
    <row r="108" spans="1:6" s="30" customFormat="1" x14ac:dyDescent="0.25">
      <c r="A108" s="49" t="s">
        <v>3</v>
      </c>
      <c r="B108" s="387" t="s">
        <v>157</v>
      </c>
      <c r="C108" s="387"/>
      <c r="D108" s="77">
        <f>D62</f>
        <v>308.88</v>
      </c>
      <c r="E108" s="77">
        <f>E62</f>
        <v>308.88</v>
      </c>
      <c r="F108" s="62">
        <f>F62</f>
        <v>308.88</v>
      </c>
    </row>
    <row r="109" spans="1:6" s="30" customFormat="1" x14ac:dyDescent="0.25">
      <c r="A109" s="49" t="s">
        <v>5</v>
      </c>
      <c r="B109" s="387" t="s">
        <v>150</v>
      </c>
      <c r="C109" s="387"/>
      <c r="D109" s="77">
        <f>D82</f>
        <v>215.46</v>
      </c>
      <c r="E109" s="77">
        <f>E82</f>
        <v>215.46</v>
      </c>
      <c r="F109" s="62">
        <f>F82</f>
        <v>215.46</v>
      </c>
    </row>
    <row r="110" spans="1:6" s="30" customFormat="1" x14ac:dyDescent="0.25">
      <c r="A110" s="49" t="s">
        <v>20</v>
      </c>
      <c r="B110" s="387" t="s">
        <v>158</v>
      </c>
      <c r="C110" s="387"/>
      <c r="D110" s="77">
        <f>D89</f>
        <v>1413.94</v>
      </c>
      <c r="E110" s="77">
        <f>E89</f>
        <v>1413.94</v>
      </c>
      <c r="F110" s="62">
        <f>F89</f>
        <v>1413.94</v>
      </c>
    </row>
    <row r="111" spans="1:6" s="30" customFormat="1" ht="15.75" customHeight="1" x14ac:dyDescent="0.25">
      <c r="A111" s="384" t="s">
        <v>160</v>
      </c>
      <c r="B111" s="388"/>
      <c r="C111" s="388"/>
      <c r="D111" s="100">
        <f>SUM(D106:D110)</f>
        <v>8997.0300000000007</v>
      </c>
      <c r="E111" s="100">
        <f>SUM(E106:E110)</f>
        <v>8997.0300000000007</v>
      </c>
      <c r="F111" s="170">
        <f>SUM(F106:F110)</f>
        <v>8997.0300000000007</v>
      </c>
    </row>
    <row r="112" spans="1:6" s="30" customFormat="1" x14ac:dyDescent="0.25">
      <c r="A112" s="251" t="s">
        <v>20</v>
      </c>
      <c r="B112" s="387" t="s">
        <v>161</v>
      </c>
      <c r="C112" s="387"/>
      <c r="D112" s="77">
        <f>+D104</f>
        <v>2543.69</v>
      </c>
      <c r="E112" s="77">
        <f>+E104</f>
        <v>2543.69</v>
      </c>
      <c r="F112" s="62">
        <f>+F104</f>
        <v>2543.69</v>
      </c>
    </row>
    <row r="113" spans="1:6" s="30" customFormat="1" ht="16.5" customHeight="1" thickBot="1" x14ac:dyDescent="0.3">
      <c r="A113" s="381" t="s">
        <v>49</v>
      </c>
      <c r="B113" s="382"/>
      <c r="C113" s="382"/>
      <c r="D113" s="147">
        <f>+D111+D112</f>
        <v>11540.72</v>
      </c>
      <c r="E113" s="147">
        <f>+E111+E112</f>
        <v>11540.72</v>
      </c>
      <c r="F113" s="203">
        <f>+F111+F112</f>
        <v>11540.72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129</v>
      </c>
    </row>
    <row r="117" spans="1:6" x14ac:dyDescent="0.25">
      <c r="B117" s="28"/>
      <c r="C117" s="383"/>
      <c r="D117" s="383"/>
      <c r="E117" s="383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4">
    <mergeCell ref="C6:F6"/>
    <mergeCell ref="A25:C25"/>
    <mergeCell ref="A11:C11"/>
    <mergeCell ref="A16:C16"/>
    <mergeCell ref="B17:C17"/>
    <mergeCell ref="C7:F7"/>
    <mergeCell ref="A8:F8"/>
    <mergeCell ref="A9:F9"/>
    <mergeCell ref="C15:F15"/>
    <mergeCell ref="A10:F10"/>
    <mergeCell ref="D11:F11"/>
    <mergeCell ref="C12:F12"/>
    <mergeCell ref="C13:F13"/>
    <mergeCell ref="C14:F14"/>
    <mergeCell ref="A1:F1"/>
    <mergeCell ref="A2:F2"/>
    <mergeCell ref="A3:F3"/>
    <mergeCell ref="C4:F4"/>
    <mergeCell ref="C5:F5"/>
    <mergeCell ref="A26:B26"/>
    <mergeCell ref="A62:C62"/>
    <mergeCell ref="B64:C64"/>
    <mergeCell ref="A71:B71"/>
    <mergeCell ref="B73:C73"/>
    <mergeCell ref="B56:C56"/>
    <mergeCell ref="B27:C27"/>
    <mergeCell ref="A30:B30"/>
    <mergeCell ref="B32:C32"/>
    <mergeCell ref="A41:B41"/>
    <mergeCell ref="A49:C49"/>
    <mergeCell ref="A54:C54"/>
    <mergeCell ref="A42:C42"/>
    <mergeCell ref="A50:C50"/>
    <mergeCell ref="A55:C55"/>
    <mergeCell ref="A31:F31"/>
    <mergeCell ref="A75:B75"/>
    <mergeCell ref="B78:C78"/>
    <mergeCell ref="A81:B81"/>
    <mergeCell ref="A82:C82"/>
    <mergeCell ref="A63:C63"/>
    <mergeCell ref="A76:C76"/>
    <mergeCell ref="A77:C77"/>
    <mergeCell ref="A83:C83"/>
    <mergeCell ref="A105:C105"/>
    <mergeCell ref="B84:C84"/>
    <mergeCell ref="B85:C85"/>
    <mergeCell ref="B86:C86"/>
    <mergeCell ref="B87:C87"/>
    <mergeCell ref="B88:C88"/>
    <mergeCell ref="A89:C89"/>
    <mergeCell ref="A90:C90"/>
    <mergeCell ref="B92:C92"/>
    <mergeCell ref="A95:A102"/>
    <mergeCell ref="A104:C104"/>
    <mergeCell ref="A91:C91"/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view="pageBreakPreview" topLeftCell="A83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391"/>
      <c r="B1" s="392"/>
      <c r="C1" s="392"/>
      <c r="D1" s="392"/>
      <c r="E1" s="392"/>
      <c r="F1" s="393"/>
    </row>
    <row r="2" spans="1:6" s="38" customFormat="1" ht="16.5" customHeight="1" x14ac:dyDescent="0.25">
      <c r="A2" s="394" t="s">
        <v>132</v>
      </c>
      <c r="B2" s="395"/>
      <c r="C2" s="395"/>
      <c r="D2" s="395"/>
      <c r="E2" s="395"/>
      <c r="F2" s="396"/>
    </row>
    <row r="3" spans="1:6" s="38" customFormat="1" x14ac:dyDescent="0.25">
      <c r="A3" s="397" t="s">
        <v>129</v>
      </c>
      <c r="B3" s="398"/>
      <c r="C3" s="398"/>
      <c r="D3" s="398"/>
      <c r="E3" s="398"/>
      <c r="F3" s="399"/>
    </row>
    <row r="4" spans="1:6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1"/>
    </row>
    <row r="5" spans="1:6" s="38" customFormat="1" ht="75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3"/>
    </row>
    <row r="6" spans="1:6" s="38" customFormat="1" ht="15.75" customHeight="1" x14ac:dyDescent="0.25">
      <c r="A6" s="40" t="s">
        <v>3</v>
      </c>
      <c r="B6" s="41" t="s">
        <v>4</v>
      </c>
      <c r="C6" s="402" t="s">
        <v>242</v>
      </c>
      <c r="D6" s="402"/>
      <c r="E6" s="402"/>
      <c r="F6" s="403"/>
    </row>
    <row r="7" spans="1:6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3"/>
    </row>
    <row r="8" spans="1:6" s="38" customFormat="1" x14ac:dyDescent="0.25">
      <c r="A8" s="397" t="s">
        <v>6</v>
      </c>
      <c r="B8" s="398"/>
      <c r="C8" s="398"/>
      <c r="D8" s="398"/>
      <c r="E8" s="398"/>
      <c r="F8" s="399"/>
    </row>
    <row r="9" spans="1:6" s="38" customFormat="1" x14ac:dyDescent="0.25">
      <c r="A9" s="397" t="s">
        <v>7</v>
      </c>
      <c r="B9" s="398"/>
      <c r="C9" s="398"/>
      <c r="D9" s="398"/>
      <c r="E9" s="398"/>
      <c r="F9" s="399"/>
    </row>
    <row r="10" spans="1:6" s="38" customFormat="1" ht="15.75" customHeight="1" x14ac:dyDescent="0.25">
      <c r="A10" s="397" t="s">
        <v>8</v>
      </c>
      <c r="B10" s="398"/>
      <c r="C10" s="398"/>
      <c r="D10" s="398"/>
      <c r="E10" s="398"/>
      <c r="F10" s="399"/>
    </row>
    <row r="11" spans="1:6" s="38" customFormat="1" ht="30" customHeight="1" x14ac:dyDescent="0.25">
      <c r="A11" s="426" t="s">
        <v>9</v>
      </c>
      <c r="B11" s="427"/>
      <c r="C11" s="427"/>
      <c r="D11" s="427" t="s">
        <v>10</v>
      </c>
      <c r="E11" s="427"/>
      <c r="F11" s="451"/>
    </row>
    <row r="12" spans="1:6" s="38" customFormat="1" ht="60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5"/>
    </row>
    <row r="13" spans="1:6" s="38" customFormat="1" ht="30" customHeight="1" x14ac:dyDescent="0.25">
      <c r="A13" s="40">
        <v>2</v>
      </c>
      <c r="B13" s="42" t="s">
        <v>11</v>
      </c>
      <c r="C13" s="447">
        <v>4750</v>
      </c>
      <c r="D13" s="447"/>
      <c r="E13" s="447"/>
      <c r="F13" s="448"/>
    </row>
    <row r="14" spans="1:6" s="38" customFormat="1" ht="15.75" customHeight="1" x14ac:dyDescent="0.25">
      <c r="A14" s="40">
        <v>3</v>
      </c>
      <c r="B14" s="42" t="s">
        <v>12</v>
      </c>
      <c r="C14" s="414" t="s">
        <v>232</v>
      </c>
      <c r="D14" s="414"/>
      <c r="E14" s="414"/>
      <c r="F14" s="415"/>
    </row>
    <row r="15" spans="1:6" s="38" customFormat="1" x14ac:dyDescent="0.25">
      <c r="A15" s="40">
        <v>4</v>
      </c>
      <c r="B15" s="43" t="s">
        <v>13</v>
      </c>
      <c r="C15" s="263"/>
      <c r="D15" s="263"/>
      <c r="E15" s="263"/>
      <c r="F15" s="264"/>
    </row>
    <row r="16" spans="1:6" s="39" customFormat="1" x14ac:dyDescent="0.25">
      <c r="A16" s="416" t="s">
        <v>14</v>
      </c>
      <c r="B16" s="417"/>
      <c r="C16" s="417"/>
      <c r="D16" s="250" t="s">
        <v>271</v>
      </c>
      <c r="E16" s="250" t="s">
        <v>271</v>
      </c>
      <c r="F16" s="261" t="s">
        <v>311</v>
      </c>
    </row>
    <row r="17" spans="1:6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8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4750</v>
      </c>
      <c r="E18" s="74">
        <f>C13</f>
        <v>4750</v>
      </c>
      <c r="F18" s="59">
        <f>C13</f>
        <v>4750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60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6">
        <f>40%*1412</f>
        <v>564.79999999999995</v>
      </c>
      <c r="E20" s="76">
        <f>40%*1412</f>
        <v>564.79999999999995</v>
      </c>
      <c r="F20" s="60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6"/>
      <c r="E21" s="76"/>
      <c r="F21" s="60"/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60"/>
    </row>
    <row r="23" spans="1:6" s="38" customFormat="1" x14ac:dyDescent="0.25">
      <c r="A23" s="44" t="s">
        <v>21</v>
      </c>
      <c r="B23" s="45" t="s">
        <v>138</v>
      </c>
      <c r="C23" s="48"/>
      <c r="D23" s="76"/>
      <c r="E23" s="76"/>
      <c r="F23" s="60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60"/>
    </row>
    <row r="25" spans="1:6" s="39" customFormat="1" ht="15.75" customHeight="1" x14ac:dyDescent="0.25">
      <c r="A25" s="368" t="s">
        <v>152</v>
      </c>
      <c r="B25" s="369"/>
      <c r="C25" s="369"/>
      <c r="D25" s="65">
        <f>SUM(D18:D24)</f>
        <v>5314.8</v>
      </c>
      <c r="E25" s="65">
        <f>SUM(E18:E24)</f>
        <v>5314.8</v>
      </c>
      <c r="F25" s="61">
        <f>SUM(F18:F24)</f>
        <v>5314.8</v>
      </c>
    </row>
    <row r="26" spans="1:6" s="39" customFormat="1" x14ac:dyDescent="0.25">
      <c r="A26" s="370" t="s">
        <v>51</v>
      </c>
      <c r="B26" s="371"/>
      <c r="C26" s="371"/>
      <c r="D26" s="245"/>
      <c r="E26" s="198"/>
      <c r="F26" s="142"/>
    </row>
    <row r="27" spans="1:6" s="38" customFormat="1" x14ac:dyDescent="0.25">
      <c r="A27" s="251">
        <v>2</v>
      </c>
      <c r="B27" s="376" t="s">
        <v>205</v>
      </c>
      <c r="C27" s="378"/>
      <c r="D27" s="68" t="s">
        <v>10</v>
      </c>
      <c r="E27" s="68" t="s">
        <v>10</v>
      </c>
      <c r="F27" s="152" t="s">
        <v>10</v>
      </c>
    </row>
    <row r="28" spans="1:6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442.72</v>
      </c>
      <c r="E28" s="77">
        <f>(E25)*C28</f>
        <v>442.72</v>
      </c>
      <c r="F28" s="62">
        <f>(F25)*C28</f>
        <v>442.72</v>
      </c>
    </row>
    <row r="29" spans="1:6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590.47</v>
      </c>
      <c r="E29" s="77">
        <f>(E25)*C29</f>
        <v>590.47</v>
      </c>
      <c r="F29" s="62">
        <f>(F25)*C29</f>
        <v>590.47</v>
      </c>
    </row>
    <row r="30" spans="1:6" x14ac:dyDescent="0.25">
      <c r="A30" s="366" t="s">
        <v>27</v>
      </c>
      <c r="B30" s="367"/>
      <c r="C30" s="91">
        <f>SUM(C28:C29)</f>
        <v>0.19439999999999999</v>
      </c>
      <c r="D30" s="79">
        <f>SUM(D28:D29)</f>
        <v>1033.19</v>
      </c>
      <c r="E30" s="79">
        <f>SUM(E28:E29)</f>
        <v>1033.19</v>
      </c>
      <c r="F30" s="63">
        <f>SUM(F28:F29)</f>
        <v>1033.19</v>
      </c>
    </row>
    <row r="31" spans="1:6" ht="32.25" customHeight="1" x14ac:dyDescent="0.25">
      <c r="A31" s="411" t="s">
        <v>206</v>
      </c>
      <c r="B31" s="412"/>
      <c r="C31" s="412"/>
      <c r="D31" s="412"/>
      <c r="E31" s="412"/>
      <c r="F31" s="413"/>
    </row>
    <row r="32" spans="1:6" x14ac:dyDescent="0.25">
      <c r="A32" s="246" t="s">
        <v>215</v>
      </c>
      <c r="B32" s="428" t="s">
        <v>25</v>
      </c>
      <c r="C32" s="429"/>
      <c r="D32" s="69" t="s">
        <v>10</v>
      </c>
      <c r="E32" s="69" t="s">
        <v>10</v>
      </c>
      <c r="F32" s="151" t="s">
        <v>10</v>
      </c>
    </row>
    <row r="33" spans="1:6" x14ac:dyDescent="0.25">
      <c r="A33" s="49" t="s">
        <v>0</v>
      </c>
      <c r="B33" s="80" t="s">
        <v>207</v>
      </c>
      <c r="C33" s="55">
        <v>0.2</v>
      </c>
      <c r="D33" s="77">
        <f>(D25+D30)*C33</f>
        <v>1269.5999999999999</v>
      </c>
      <c r="E33" s="77">
        <f>(E25+E30)*C33</f>
        <v>1269.5999999999999</v>
      </c>
      <c r="F33" s="62">
        <f>(F25+F30)*C33</f>
        <v>1269.5999999999999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>(D25+D30)*C34</f>
        <v>95.22</v>
      </c>
      <c r="E34" s="77">
        <f>(E25+E30)*C34</f>
        <v>95.22</v>
      </c>
      <c r="F34" s="62">
        <f>(F25+F30)*C34</f>
        <v>95.22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>(D25+D30)*C35</f>
        <v>63.48</v>
      </c>
      <c r="E35" s="77">
        <f>(E25+E30)*C35</f>
        <v>63.48</v>
      </c>
      <c r="F35" s="62">
        <f>(F25+F30)*C35</f>
        <v>63.48</v>
      </c>
    </row>
    <row r="36" spans="1:6" ht="31.5" x14ac:dyDescent="0.25">
      <c r="A36" s="49" t="s">
        <v>5</v>
      </c>
      <c r="B36" s="249" t="s">
        <v>210</v>
      </c>
      <c r="C36" s="81">
        <v>2E-3</v>
      </c>
      <c r="D36" s="77">
        <f>(D25+D30)*C36</f>
        <v>12.7</v>
      </c>
      <c r="E36" s="77">
        <f>(E25+E30)*C36</f>
        <v>12.7</v>
      </c>
      <c r="F36" s="62">
        <f>(F25+F30)*C36</f>
        <v>12.7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>(D25+D30)*C37</f>
        <v>158.69999999999999</v>
      </c>
      <c r="E37" s="77">
        <f>(E25+E30)*C37</f>
        <v>158.69999999999999</v>
      </c>
      <c r="F37" s="62">
        <f>(F25+F30)*C37</f>
        <v>158.69999999999999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>(D25+D30)*C38</f>
        <v>507.84</v>
      </c>
      <c r="E38" s="77">
        <f>(E25+E30)*C38</f>
        <v>507.84</v>
      </c>
      <c r="F38" s="62">
        <f>(F25+F30)*C38</f>
        <v>507.84</v>
      </c>
    </row>
    <row r="39" spans="1:6" ht="30.75" customHeight="1" x14ac:dyDescent="0.25">
      <c r="A39" s="49" t="s">
        <v>22</v>
      </c>
      <c r="B39" s="249" t="s">
        <v>213</v>
      </c>
      <c r="C39" s="81">
        <v>0.03</v>
      </c>
      <c r="D39" s="77">
        <f>(D25+D30)*C39</f>
        <v>190.44</v>
      </c>
      <c r="E39" s="77">
        <f>(E25+E30)*C39</f>
        <v>190.44</v>
      </c>
      <c r="F39" s="62">
        <f>(F25+F30)*C39</f>
        <v>190.44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>(D25+D30)*C40</f>
        <v>38.090000000000003</v>
      </c>
      <c r="E40" s="77">
        <f>(E25+E30)*C40</f>
        <v>38.090000000000003</v>
      </c>
      <c r="F40" s="62">
        <f>(F25+F30)*C40</f>
        <v>38.090000000000003</v>
      </c>
    </row>
    <row r="41" spans="1:6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2336.0700000000002</v>
      </c>
      <c r="E41" s="79">
        <f>SUM(E33:E40)</f>
        <v>2336.0700000000002</v>
      </c>
      <c r="F41" s="63">
        <f>SUM(F33:F40)</f>
        <v>2336.0700000000002</v>
      </c>
    </row>
    <row r="42" spans="1:6" s="30" customFormat="1" x14ac:dyDescent="0.25">
      <c r="A42" s="73" t="s">
        <v>216</v>
      </c>
      <c r="B42" s="430" t="s">
        <v>217</v>
      </c>
      <c r="C42" s="431"/>
      <c r="D42" s="104" t="s">
        <v>10</v>
      </c>
      <c r="E42" s="104" t="s">
        <v>10</v>
      </c>
      <c r="F42" s="164" t="s">
        <v>10</v>
      </c>
    </row>
    <row r="43" spans="1:6" s="30" customFormat="1" x14ac:dyDescent="0.25">
      <c r="A43" s="90" t="s">
        <v>0</v>
      </c>
      <c r="B43" s="53" t="s">
        <v>144</v>
      </c>
      <c r="C43" s="105"/>
      <c r="D43" s="76">
        <v>0</v>
      </c>
      <c r="E43" s="76">
        <v>0</v>
      </c>
      <c r="F43" s="60">
        <v>0</v>
      </c>
    </row>
    <row r="44" spans="1:6" s="30" customFormat="1" x14ac:dyDescent="0.25">
      <c r="A44" s="47" t="s">
        <v>2</v>
      </c>
      <c r="B44" s="46" t="s">
        <v>218</v>
      </c>
      <c r="C44" s="72"/>
      <c r="D44" s="74">
        <f>C44-(C44*0.99%)</f>
        <v>0</v>
      </c>
      <c r="E44" s="74">
        <f>C44-(C44*0.99%)</f>
        <v>0</v>
      </c>
      <c r="F44" s="59">
        <f>D44-(D44*0.99%)</f>
        <v>0</v>
      </c>
    </row>
    <row r="45" spans="1:6" s="30" customFormat="1" x14ac:dyDescent="0.25">
      <c r="A45" s="49" t="s">
        <v>5</v>
      </c>
      <c r="B45" s="50" t="s">
        <v>134</v>
      </c>
      <c r="C45" s="83"/>
      <c r="D45" s="84">
        <v>0</v>
      </c>
      <c r="E45" s="84">
        <v>0</v>
      </c>
      <c r="F45" s="165">
        <v>0</v>
      </c>
    </row>
    <row r="46" spans="1:6" s="30" customFormat="1" x14ac:dyDescent="0.25">
      <c r="A46" s="49" t="s">
        <v>20</v>
      </c>
      <c r="B46" s="50" t="s">
        <v>135</v>
      </c>
      <c r="C46" s="55"/>
      <c r="D46" s="84">
        <f>D18*C46*0.0199*2/12</f>
        <v>0</v>
      </c>
      <c r="E46" s="84">
        <f>E18*C46*0.0199*2/12</f>
        <v>0</v>
      </c>
      <c r="F46" s="165">
        <f>F18*D46*0.0199*2/12</f>
        <v>0</v>
      </c>
    </row>
    <row r="47" spans="1:6" s="30" customFormat="1" x14ac:dyDescent="0.25">
      <c r="A47" s="49" t="s">
        <v>21</v>
      </c>
      <c r="B47" s="50" t="s">
        <v>136</v>
      </c>
      <c r="C47" s="83"/>
      <c r="D47" s="77">
        <v>0</v>
      </c>
      <c r="E47" s="77">
        <v>0</v>
      </c>
      <c r="F47" s="62">
        <v>0</v>
      </c>
    </row>
    <row r="48" spans="1:6" s="30" customFormat="1" ht="15.75" customHeight="1" x14ac:dyDescent="0.25">
      <c r="A48" s="366" t="s">
        <v>23</v>
      </c>
      <c r="B48" s="367"/>
      <c r="C48" s="367"/>
      <c r="D48" s="79">
        <f>SUM(D43:D47)</f>
        <v>0</v>
      </c>
      <c r="E48" s="79">
        <f>SUM(E43:E47)</f>
        <v>0</v>
      </c>
      <c r="F48" s="63">
        <f>SUM(F43:F47)</f>
        <v>0</v>
      </c>
    </row>
    <row r="49" spans="1:6" s="30" customFormat="1" ht="15.75" customHeight="1" x14ac:dyDescent="0.25">
      <c r="A49" s="370" t="s">
        <v>151</v>
      </c>
      <c r="B49" s="371"/>
      <c r="C49" s="371"/>
      <c r="D49" s="226"/>
      <c r="E49" s="226"/>
      <c r="F49" s="227"/>
    </row>
    <row r="50" spans="1:6" s="30" customFormat="1" ht="15.75" customHeight="1" x14ac:dyDescent="0.25">
      <c r="A50" s="257" t="s">
        <v>141</v>
      </c>
      <c r="B50" s="96" t="s">
        <v>145</v>
      </c>
      <c r="C50" s="258"/>
      <c r="D50" s="64">
        <f>D30</f>
        <v>1033.19</v>
      </c>
      <c r="E50" s="64">
        <f>E30</f>
        <v>1033.19</v>
      </c>
      <c r="F50" s="167">
        <f>F30</f>
        <v>1033.19</v>
      </c>
    </row>
    <row r="51" spans="1:6" s="30" customFormat="1" ht="15.75" customHeight="1" x14ac:dyDescent="0.25">
      <c r="A51" s="257" t="s">
        <v>215</v>
      </c>
      <c r="B51" s="96" t="s">
        <v>146</v>
      </c>
      <c r="C51" s="258"/>
      <c r="D51" s="64">
        <f>D41</f>
        <v>2336.0700000000002</v>
      </c>
      <c r="E51" s="64">
        <f>E41</f>
        <v>2336.0700000000002</v>
      </c>
      <c r="F51" s="167">
        <f>F41</f>
        <v>2336.0700000000002</v>
      </c>
    </row>
    <row r="52" spans="1:6" s="30" customFormat="1" ht="15.75" customHeight="1" x14ac:dyDescent="0.25">
      <c r="A52" s="257" t="s">
        <v>216</v>
      </c>
      <c r="B52" s="96" t="s">
        <v>147</v>
      </c>
      <c r="C52" s="258"/>
      <c r="D52" s="64">
        <f>D48</f>
        <v>0</v>
      </c>
      <c r="E52" s="64">
        <f>E48</f>
        <v>0</v>
      </c>
      <c r="F52" s="167">
        <f>F48</f>
        <v>0</v>
      </c>
    </row>
    <row r="53" spans="1:6" s="30" customFormat="1" ht="15.75" customHeight="1" x14ac:dyDescent="0.25">
      <c r="A53" s="368" t="s">
        <v>153</v>
      </c>
      <c r="B53" s="369"/>
      <c r="C53" s="369"/>
      <c r="D53" s="65">
        <f>SUM(D50:D52)</f>
        <v>3369.26</v>
      </c>
      <c r="E53" s="65">
        <f>SUM(E50:E52)</f>
        <v>3369.26</v>
      </c>
      <c r="F53" s="61">
        <f>SUM(F50:F52)</f>
        <v>3369.26</v>
      </c>
    </row>
    <row r="54" spans="1:6" s="30" customFormat="1" ht="15.75" customHeight="1" x14ac:dyDescent="0.25">
      <c r="A54" s="370" t="s">
        <v>162</v>
      </c>
      <c r="B54" s="371"/>
      <c r="C54" s="371"/>
      <c r="D54" s="226"/>
      <c r="E54" s="226"/>
      <c r="F54" s="227"/>
    </row>
    <row r="55" spans="1:6" s="30" customFormat="1" ht="15.75" customHeight="1" x14ac:dyDescent="0.25">
      <c r="A55" s="251" t="s">
        <v>200</v>
      </c>
      <c r="B55" s="376" t="s">
        <v>32</v>
      </c>
      <c r="C55" s="377"/>
      <c r="D55" s="68" t="s">
        <v>10</v>
      </c>
      <c r="E55" s="68" t="s">
        <v>10</v>
      </c>
      <c r="F55" s="152" t="s">
        <v>10</v>
      </c>
    </row>
    <row r="56" spans="1:6" s="30" customFormat="1" ht="15.75" customHeight="1" x14ac:dyDescent="0.25">
      <c r="A56" s="49" t="s">
        <v>0</v>
      </c>
      <c r="B56" s="50" t="s">
        <v>33</v>
      </c>
      <c r="C56" s="55">
        <v>4.5999999999999999E-3</v>
      </c>
      <c r="D56" s="77">
        <f>D$25*C56</f>
        <v>24.45</v>
      </c>
      <c r="E56" s="77">
        <f>E$25*C56</f>
        <v>24.45</v>
      </c>
      <c r="F56" s="62">
        <f>F$25*C56</f>
        <v>24.45</v>
      </c>
    </row>
    <row r="57" spans="1:6" s="30" customFormat="1" ht="15.75" customHeight="1" x14ac:dyDescent="0.25">
      <c r="A57" s="49" t="s">
        <v>2</v>
      </c>
      <c r="B57" s="50" t="s">
        <v>34</v>
      </c>
      <c r="C57" s="55">
        <v>4.0000000000000002E-4</v>
      </c>
      <c r="D57" s="77">
        <f>D$25*C57</f>
        <v>2.13</v>
      </c>
      <c r="E57" s="77">
        <f>E$25*C57</f>
        <v>2.13</v>
      </c>
      <c r="F57" s="62">
        <f>F$25*C57</f>
        <v>2.13</v>
      </c>
    </row>
    <row r="58" spans="1:6" s="30" customFormat="1" ht="15.75" customHeight="1" x14ac:dyDescent="0.25">
      <c r="A58" s="49" t="s">
        <v>3</v>
      </c>
      <c r="B58" s="50" t="s">
        <v>35</v>
      </c>
      <c r="C58" s="55">
        <v>1.9400000000000001E-2</v>
      </c>
      <c r="D58" s="77">
        <f>D$25*C58</f>
        <v>103.11</v>
      </c>
      <c r="E58" s="77">
        <f>E$25*C58</f>
        <v>103.11</v>
      </c>
      <c r="F58" s="62">
        <f>F$25*C58</f>
        <v>103.11</v>
      </c>
    </row>
    <row r="59" spans="1:6" s="30" customFormat="1" ht="15.75" customHeight="1" x14ac:dyDescent="0.25">
      <c r="A59" s="49" t="s">
        <v>5</v>
      </c>
      <c r="B59" s="97" t="s">
        <v>174</v>
      </c>
      <c r="C59" s="55">
        <v>7.1000000000000004E-3</v>
      </c>
      <c r="D59" s="77">
        <f>D$25*C59</f>
        <v>37.74</v>
      </c>
      <c r="E59" s="77">
        <f>E$25*C59</f>
        <v>37.74</v>
      </c>
      <c r="F59" s="62">
        <f>F$25*C59</f>
        <v>37.74</v>
      </c>
    </row>
    <row r="60" spans="1:6" s="30" customFormat="1" ht="32.25" customHeight="1" x14ac:dyDescent="0.25">
      <c r="A60" s="49" t="s">
        <v>20</v>
      </c>
      <c r="B60" s="50" t="s">
        <v>219</v>
      </c>
      <c r="C60" s="55">
        <v>0.04</v>
      </c>
      <c r="D60" s="77">
        <f>D$25*C60</f>
        <v>212.59</v>
      </c>
      <c r="E60" s="77">
        <f>E$25*C60</f>
        <v>212.59</v>
      </c>
      <c r="F60" s="62">
        <f>F$25*C60</f>
        <v>212.59</v>
      </c>
    </row>
    <row r="61" spans="1:6" s="30" customFormat="1" x14ac:dyDescent="0.25">
      <c r="A61" s="368" t="s">
        <v>154</v>
      </c>
      <c r="B61" s="369"/>
      <c r="C61" s="369"/>
      <c r="D61" s="65">
        <f>SUM(D56:D60)</f>
        <v>380.02</v>
      </c>
      <c r="E61" s="65">
        <f>SUM(E56:E60)</f>
        <v>380.02</v>
      </c>
      <c r="F61" s="61">
        <f>SUM(F56:F60)</f>
        <v>380.02</v>
      </c>
    </row>
    <row r="62" spans="1:6" s="30" customFormat="1" x14ac:dyDescent="0.25">
      <c r="A62" s="370" t="s">
        <v>163</v>
      </c>
      <c r="B62" s="371"/>
      <c r="C62" s="371"/>
      <c r="D62" s="226"/>
      <c r="E62" s="226"/>
      <c r="F62" s="227"/>
    </row>
    <row r="63" spans="1:6" s="30" customFormat="1" x14ac:dyDescent="0.25">
      <c r="A63" s="251" t="s">
        <v>199</v>
      </c>
      <c r="B63" s="380" t="s">
        <v>36</v>
      </c>
      <c r="C63" s="380"/>
      <c r="D63" s="68" t="s">
        <v>10</v>
      </c>
      <c r="E63" s="68" t="s">
        <v>10</v>
      </c>
      <c r="F63" s="152" t="s">
        <v>10</v>
      </c>
    </row>
    <row r="64" spans="1:6" s="30" customFormat="1" x14ac:dyDescent="0.25">
      <c r="A64" s="49" t="s">
        <v>0</v>
      </c>
      <c r="B64" s="50" t="s">
        <v>192</v>
      </c>
      <c r="C64" s="55">
        <v>9.2999999999999992E-3</v>
      </c>
      <c r="D64" s="77">
        <f>(D25+D53+D61+D84)*C64</f>
        <v>84.64</v>
      </c>
      <c r="E64" s="77">
        <f>(E25+E53+E61+E84)*C64</f>
        <v>84.64</v>
      </c>
      <c r="F64" s="62">
        <f>(F25+F53+F61+F84)*C64</f>
        <v>84.64</v>
      </c>
    </row>
    <row r="65" spans="1:6" s="30" customFormat="1" x14ac:dyDescent="0.25">
      <c r="A65" s="49" t="s">
        <v>2</v>
      </c>
      <c r="B65" s="50" t="s">
        <v>193</v>
      </c>
      <c r="C65" s="55">
        <v>1.66E-2</v>
      </c>
      <c r="D65" s="77">
        <f>(D$25+D$53+D$61+D84)*C65</f>
        <v>151.07</v>
      </c>
      <c r="E65" s="77">
        <f>(E$25+E$53+E$61+E84)*C65</f>
        <v>151.07</v>
      </c>
      <c r="F65" s="62">
        <f>(F$25+F$53+F$61+F84)*C65</f>
        <v>151.07</v>
      </c>
    </row>
    <row r="66" spans="1:6" s="30" customFormat="1" x14ac:dyDescent="0.25">
      <c r="A66" s="49" t="s">
        <v>3</v>
      </c>
      <c r="B66" s="50" t="s">
        <v>194</v>
      </c>
      <c r="C66" s="55">
        <v>2.0000000000000001E-4</v>
      </c>
      <c r="D66" s="77">
        <f>(D$25+D$53+D$61+D$84)*C66</f>
        <v>1.82</v>
      </c>
      <c r="E66" s="77">
        <f>(E$25+E$53+E$61+E$84)*C66</f>
        <v>1.82</v>
      </c>
      <c r="F66" s="62">
        <f>(F$25+F$53+F$61+F$84)*C66</f>
        <v>1.82</v>
      </c>
    </row>
    <row r="67" spans="1:6" s="30" customFormat="1" x14ac:dyDescent="0.25">
      <c r="A67" s="49" t="s">
        <v>5</v>
      </c>
      <c r="B67" s="50" t="s">
        <v>195</v>
      </c>
      <c r="C67" s="55">
        <v>2.7000000000000001E-3</v>
      </c>
      <c r="D67" s="77">
        <f>(D$25+D$53+D$61+D$84)*C67</f>
        <v>24.57</v>
      </c>
      <c r="E67" s="77">
        <f>(E$25+E$53+E$61+E$84)*C67</f>
        <v>24.57</v>
      </c>
      <c r="F67" s="62">
        <f>(F$25+F$53+F$61+F$84)*C67</f>
        <v>24.57</v>
      </c>
    </row>
    <row r="68" spans="1:6" s="30" customFormat="1" x14ac:dyDescent="0.25">
      <c r="A68" s="49" t="s">
        <v>20</v>
      </c>
      <c r="B68" s="50" t="s">
        <v>196</v>
      </c>
      <c r="C68" s="55">
        <v>2.9999999999999997E-4</v>
      </c>
      <c r="D68" s="77">
        <f>(D$25+D$53+D$61+D$84)*C68</f>
        <v>2.73</v>
      </c>
      <c r="E68" s="77">
        <f>(E$25+E$53+E$61+E$84)*C68</f>
        <v>2.73</v>
      </c>
      <c r="F68" s="62">
        <f>(F$25+F$53+F$61+F$84)*C68</f>
        <v>2.73</v>
      </c>
    </row>
    <row r="69" spans="1:6" s="30" customFormat="1" ht="15.75" customHeight="1" x14ac:dyDescent="0.25">
      <c r="A69" s="49" t="s">
        <v>21</v>
      </c>
      <c r="B69" s="254" t="s">
        <v>197</v>
      </c>
      <c r="C69" s="55">
        <v>0</v>
      </c>
      <c r="D69" s="77">
        <f>(D$25+D$53+D$61+D$84)*C69</f>
        <v>0</v>
      </c>
      <c r="E69" s="77">
        <f>(E$25+E$53+E$61+E$84)*C69</f>
        <v>0</v>
      </c>
      <c r="F69" s="62">
        <f>(F$25+F$53+F$61+F$84)*C69</f>
        <v>0</v>
      </c>
    </row>
    <row r="70" spans="1:6" s="30" customFormat="1" x14ac:dyDescent="0.25">
      <c r="A70" s="366" t="s">
        <v>29</v>
      </c>
      <c r="B70" s="367"/>
      <c r="C70" s="56">
        <f>SUM(C64:C69)</f>
        <v>2.9100000000000001E-2</v>
      </c>
      <c r="D70" s="79">
        <f>SUM(D64:D69)</f>
        <v>264.83</v>
      </c>
      <c r="E70" s="79">
        <f>SUM(E64:E69)</f>
        <v>264.83</v>
      </c>
      <c r="F70" s="63">
        <f>SUM(F64:F69)</f>
        <v>264.83</v>
      </c>
    </row>
    <row r="71" spans="1:6" s="30" customFormat="1" x14ac:dyDescent="0.25">
      <c r="A71" s="257"/>
      <c r="B71" s="258"/>
      <c r="C71" s="71"/>
      <c r="D71" s="71"/>
      <c r="E71" s="74"/>
      <c r="F71" s="59"/>
    </row>
    <row r="72" spans="1:6" s="30" customFormat="1" x14ac:dyDescent="0.25">
      <c r="A72" s="257"/>
      <c r="B72" s="374" t="s">
        <v>201</v>
      </c>
      <c r="C72" s="375"/>
      <c r="D72" s="68" t="s">
        <v>10</v>
      </c>
      <c r="E72" s="68" t="s">
        <v>10</v>
      </c>
      <c r="F72" s="152" t="s">
        <v>10</v>
      </c>
    </row>
    <row r="73" spans="1:6" s="30" customFormat="1" x14ac:dyDescent="0.25">
      <c r="A73" s="47" t="s">
        <v>0</v>
      </c>
      <c r="B73" s="248" t="s">
        <v>202</v>
      </c>
      <c r="C73" s="92">
        <v>0</v>
      </c>
      <c r="D73" s="155">
        <v>0</v>
      </c>
      <c r="E73" s="155">
        <v>0</v>
      </c>
      <c r="F73" s="269">
        <v>0</v>
      </c>
    </row>
    <row r="74" spans="1:6" s="30" customFormat="1" ht="15.75" customHeight="1" x14ac:dyDescent="0.25">
      <c r="A74" s="366" t="s">
        <v>27</v>
      </c>
      <c r="B74" s="367"/>
      <c r="C74" s="93">
        <v>0</v>
      </c>
      <c r="D74" s="79">
        <f>D73</f>
        <v>0</v>
      </c>
      <c r="E74" s="79">
        <f>E73</f>
        <v>0</v>
      </c>
      <c r="F74" s="63">
        <f>F73</f>
        <v>0</v>
      </c>
    </row>
    <row r="75" spans="1:6" s="30" customFormat="1" ht="15.75" customHeight="1" x14ac:dyDescent="0.25">
      <c r="A75" s="370" t="s">
        <v>30</v>
      </c>
      <c r="B75" s="371"/>
      <c r="C75" s="371"/>
      <c r="D75" s="226"/>
      <c r="E75" s="226"/>
      <c r="F75" s="227"/>
    </row>
    <row r="76" spans="1:6" s="30" customFormat="1" ht="15.75" customHeight="1" x14ac:dyDescent="0.25">
      <c r="A76" s="449" t="s">
        <v>203</v>
      </c>
      <c r="B76" s="450"/>
      <c r="C76" s="450"/>
      <c r="D76" s="231"/>
      <c r="E76" s="231"/>
      <c r="F76" s="232"/>
    </row>
    <row r="77" spans="1:6" s="30" customFormat="1" ht="15.75" customHeight="1" x14ac:dyDescent="0.25">
      <c r="A77" s="251">
        <v>4</v>
      </c>
      <c r="B77" s="376" t="s">
        <v>220</v>
      </c>
      <c r="C77" s="377"/>
      <c r="D77" s="68" t="s">
        <v>10</v>
      </c>
      <c r="E77" s="68" t="s">
        <v>10</v>
      </c>
      <c r="F77" s="152" t="s">
        <v>10</v>
      </c>
    </row>
    <row r="78" spans="1:6" s="30" customFormat="1" ht="15.75" customHeight="1" x14ac:dyDescent="0.25">
      <c r="A78" s="49" t="s">
        <v>199</v>
      </c>
      <c r="B78" s="50" t="s">
        <v>198</v>
      </c>
      <c r="C78" s="55">
        <f>C70</f>
        <v>2.9100000000000001E-2</v>
      </c>
      <c r="D78" s="77">
        <f>D70</f>
        <v>264.83</v>
      </c>
      <c r="E78" s="77">
        <f>E70</f>
        <v>264.83</v>
      </c>
      <c r="F78" s="62">
        <f>F70</f>
        <v>264.83</v>
      </c>
    </row>
    <row r="79" spans="1:6" s="30" customFormat="1" ht="15.75" customHeight="1" x14ac:dyDescent="0.25">
      <c r="A79" s="49" t="s">
        <v>221</v>
      </c>
      <c r="B79" s="50" t="s">
        <v>201</v>
      </c>
      <c r="C79" s="55">
        <v>0</v>
      </c>
      <c r="D79" s="77">
        <f>(D$25+D$53+D$61)*C79</f>
        <v>0</v>
      </c>
      <c r="E79" s="77">
        <f>(E$25+E$53+E$61)*C79</f>
        <v>0</v>
      </c>
      <c r="F79" s="62">
        <f>(F$25+F$53+F$61)*C79</f>
        <v>0</v>
      </c>
    </row>
    <row r="80" spans="1:6" s="30" customFormat="1" ht="15.75" customHeight="1" x14ac:dyDescent="0.25">
      <c r="A80" s="366" t="s">
        <v>27</v>
      </c>
      <c r="B80" s="367"/>
      <c r="C80" s="91">
        <f>SUM(C78:C79)</f>
        <v>2.9100000000000001E-2</v>
      </c>
      <c r="D80" s="79">
        <f>SUM(D78:D79)</f>
        <v>264.83</v>
      </c>
      <c r="E80" s="79">
        <f>SUM(E78:E79)</f>
        <v>264.83</v>
      </c>
      <c r="F80" s="63">
        <f>SUM(F78:F79)</f>
        <v>264.83</v>
      </c>
    </row>
    <row r="81" spans="1:6" s="30" customFormat="1" ht="15.75" customHeight="1" x14ac:dyDescent="0.25">
      <c r="A81" s="368" t="s">
        <v>155</v>
      </c>
      <c r="B81" s="369"/>
      <c r="C81" s="369"/>
      <c r="D81" s="65">
        <f>SUM(D74+D80)</f>
        <v>264.83</v>
      </c>
      <c r="E81" s="65">
        <f>SUM(E74+E80)</f>
        <v>264.83</v>
      </c>
      <c r="F81" s="61">
        <f>SUM(F74+F80)</f>
        <v>264.83</v>
      </c>
    </row>
    <row r="82" spans="1:6" s="30" customFormat="1" ht="15.75" customHeight="1" x14ac:dyDescent="0.25">
      <c r="A82" s="389" t="s">
        <v>164</v>
      </c>
      <c r="B82" s="379"/>
      <c r="C82" s="379"/>
      <c r="D82" s="228"/>
      <c r="E82" s="228"/>
      <c r="F82" s="229"/>
    </row>
    <row r="83" spans="1:6" s="30" customFormat="1" ht="15.75" customHeight="1" x14ac:dyDescent="0.25">
      <c r="A83" s="251">
        <v>5</v>
      </c>
      <c r="B83" s="376" t="s">
        <v>24</v>
      </c>
      <c r="C83" s="377"/>
      <c r="D83" s="68" t="s">
        <v>10</v>
      </c>
      <c r="E83" s="68" t="s">
        <v>10</v>
      </c>
      <c r="F83" s="152" t="s">
        <v>10</v>
      </c>
    </row>
    <row r="84" spans="1:6" s="30" customFormat="1" ht="15.75" customHeight="1" x14ac:dyDescent="0.25">
      <c r="A84" s="49" t="s">
        <v>0</v>
      </c>
      <c r="B84" s="390" t="s">
        <v>222</v>
      </c>
      <c r="C84" s="390"/>
      <c r="D84" s="77">
        <f>Uniformes!H7</f>
        <v>36.619999999999997</v>
      </c>
      <c r="E84" s="77">
        <f>Uniformes!H7</f>
        <v>36.619999999999997</v>
      </c>
      <c r="F84" s="59">
        <f>Uniformes!H7</f>
        <v>36.619999999999997</v>
      </c>
    </row>
    <row r="85" spans="1:6" s="30" customFormat="1" ht="15.75" customHeight="1" x14ac:dyDescent="0.25">
      <c r="A85" s="49" t="s">
        <v>2</v>
      </c>
      <c r="B85" s="390" t="s">
        <v>223</v>
      </c>
      <c r="C85" s="390"/>
      <c r="D85" s="77">
        <f>Materiais!H20</f>
        <v>44.57</v>
      </c>
      <c r="E85" s="77">
        <f>Materiais!H21</f>
        <v>44.57</v>
      </c>
      <c r="F85" s="59">
        <f>Materiais!H24</f>
        <v>44.57</v>
      </c>
    </row>
    <row r="86" spans="1:6" s="30" customFormat="1" ht="15.75" customHeight="1" x14ac:dyDescent="0.25">
      <c r="A86" s="49" t="s">
        <v>3</v>
      </c>
      <c r="B86" s="390" t="s">
        <v>187</v>
      </c>
      <c r="C86" s="390"/>
      <c r="D86" s="77">
        <f>Equipamentos!H20</f>
        <v>922.4</v>
      </c>
      <c r="E86" s="77">
        <f>Equipamentos!H21</f>
        <v>922.4</v>
      </c>
      <c r="F86" s="59">
        <f>Equipamentos!H24</f>
        <v>922.4</v>
      </c>
    </row>
    <row r="87" spans="1:6" s="30" customFormat="1" ht="15.75" customHeight="1" x14ac:dyDescent="0.25">
      <c r="A87" s="49" t="s">
        <v>5</v>
      </c>
      <c r="B87" s="390" t="s">
        <v>137</v>
      </c>
      <c r="C87" s="390"/>
      <c r="D87" s="77">
        <v>0</v>
      </c>
      <c r="E87" s="77">
        <v>0</v>
      </c>
      <c r="F87" s="59">
        <v>0</v>
      </c>
    </row>
    <row r="88" spans="1:6" s="30" customFormat="1" ht="15.75" customHeight="1" x14ac:dyDescent="0.25">
      <c r="A88" s="368" t="s">
        <v>156</v>
      </c>
      <c r="B88" s="369"/>
      <c r="C88" s="369"/>
      <c r="D88" s="65">
        <f>SUM(D84:D87)</f>
        <v>1003.59</v>
      </c>
      <c r="E88" s="65">
        <f>SUM(E84:E87)</f>
        <v>1003.59</v>
      </c>
      <c r="F88" s="61">
        <f>SUM(F84:F87)</f>
        <v>1003.59</v>
      </c>
    </row>
    <row r="89" spans="1:6" s="30" customFormat="1" ht="30" customHeight="1" x14ac:dyDescent="0.25">
      <c r="A89" s="389" t="s">
        <v>225</v>
      </c>
      <c r="B89" s="379"/>
      <c r="C89" s="379"/>
      <c r="D89" s="144">
        <f>D88+D81+D61+D53+D25</f>
        <v>10332.5</v>
      </c>
      <c r="E89" s="144">
        <f>E88+E81+E61+E53+E25</f>
        <v>10332.5</v>
      </c>
      <c r="F89" s="201">
        <f>F88+F81+F61+F53+F25</f>
        <v>10332.5</v>
      </c>
    </row>
    <row r="90" spans="1:6" s="30" customFormat="1" ht="19.5" customHeight="1" x14ac:dyDescent="0.25">
      <c r="A90" s="370" t="s">
        <v>165</v>
      </c>
      <c r="B90" s="371"/>
      <c r="C90" s="371"/>
      <c r="D90" s="226"/>
      <c r="E90" s="226"/>
      <c r="F90" s="227"/>
    </row>
    <row r="91" spans="1:6" s="30" customFormat="1" x14ac:dyDescent="0.25">
      <c r="A91" s="251">
        <v>5</v>
      </c>
      <c r="B91" s="376" t="s">
        <v>38</v>
      </c>
      <c r="C91" s="378"/>
      <c r="D91" s="68" t="s">
        <v>10</v>
      </c>
      <c r="E91" s="68" t="s">
        <v>10</v>
      </c>
      <c r="F91" s="152" t="s">
        <v>10</v>
      </c>
    </row>
    <row r="92" spans="1:6" s="30" customFormat="1" x14ac:dyDescent="0.25">
      <c r="A92" s="251" t="s">
        <v>0</v>
      </c>
      <c r="B92" s="50" t="s">
        <v>39</v>
      </c>
      <c r="C92" s="55">
        <v>0.03</v>
      </c>
      <c r="D92" s="77">
        <f>+D89*C92</f>
        <v>309.98</v>
      </c>
      <c r="E92" s="77">
        <f>+E89*C92</f>
        <v>309.98</v>
      </c>
      <c r="F92" s="62">
        <f>+F89*C92</f>
        <v>309.98</v>
      </c>
    </row>
    <row r="93" spans="1:6" s="30" customFormat="1" x14ac:dyDescent="0.25">
      <c r="A93" s="251" t="s">
        <v>2</v>
      </c>
      <c r="B93" s="50" t="s">
        <v>40</v>
      </c>
      <c r="C93" s="55">
        <v>6.7900000000000002E-2</v>
      </c>
      <c r="D93" s="77">
        <f>C93*(+D89+D92)</f>
        <v>722.62</v>
      </c>
      <c r="E93" s="77">
        <f>C93*(+E89+E92)</f>
        <v>722.62</v>
      </c>
      <c r="F93" s="62">
        <f>C93*(+F89+F92)</f>
        <v>722.62</v>
      </c>
    </row>
    <row r="94" spans="1:6" s="30" customFormat="1" ht="31.5" x14ac:dyDescent="0.25">
      <c r="A94" s="384" t="s">
        <v>3</v>
      </c>
      <c r="B94" s="50" t="s">
        <v>50</v>
      </c>
      <c r="C94" s="55">
        <f>1-C102</f>
        <v>0.85750000000000004</v>
      </c>
      <c r="D94" s="77">
        <f>+D89+D92+D93</f>
        <v>11365.1</v>
      </c>
      <c r="E94" s="77">
        <f>+E89+E92+E93</f>
        <v>11365.1</v>
      </c>
      <c r="F94" s="62">
        <f>+F89+F92+F93</f>
        <v>11365.1</v>
      </c>
    </row>
    <row r="95" spans="1:6" s="30" customFormat="1" x14ac:dyDescent="0.25">
      <c r="A95" s="384"/>
      <c r="B95" s="254" t="s">
        <v>41</v>
      </c>
      <c r="C95" s="88"/>
      <c r="D95" s="145">
        <f>+D94/C94</f>
        <v>13253.76</v>
      </c>
      <c r="E95" s="145">
        <f>+E94/C94</f>
        <v>13253.76</v>
      </c>
      <c r="F95" s="202">
        <f>+F94/C94</f>
        <v>13253.76</v>
      </c>
    </row>
    <row r="96" spans="1:6" s="30" customFormat="1" x14ac:dyDescent="0.25">
      <c r="A96" s="384"/>
      <c r="B96" s="254" t="s">
        <v>42</v>
      </c>
      <c r="C96" s="67"/>
      <c r="D96" s="77"/>
      <c r="E96" s="77"/>
      <c r="F96" s="62"/>
    </row>
    <row r="97" spans="1:6" s="30" customFormat="1" x14ac:dyDescent="0.25">
      <c r="A97" s="384"/>
      <c r="B97" s="50" t="s">
        <v>130</v>
      </c>
      <c r="C97" s="55">
        <v>1.6500000000000001E-2</v>
      </c>
      <c r="D97" s="77">
        <f>+D95*C97</f>
        <v>218.69</v>
      </c>
      <c r="E97" s="77">
        <f>+E95*C97</f>
        <v>218.69</v>
      </c>
      <c r="F97" s="62">
        <f>+F95*C97</f>
        <v>218.69</v>
      </c>
    </row>
    <row r="98" spans="1:6" s="30" customFormat="1" x14ac:dyDescent="0.25">
      <c r="A98" s="384"/>
      <c r="B98" s="50" t="s">
        <v>131</v>
      </c>
      <c r="C98" s="55">
        <v>7.5999999999999998E-2</v>
      </c>
      <c r="D98" s="77">
        <f>+D95*C98</f>
        <v>1007.29</v>
      </c>
      <c r="E98" s="77">
        <f>+E95*C98</f>
        <v>1007.29</v>
      </c>
      <c r="F98" s="62">
        <f>+F95*C98</f>
        <v>1007.29</v>
      </c>
    </row>
    <row r="99" spans="1:6" s="30" customFormat="1" x14ac:dyDescent="0.25">
      <c r="A99" s="384"/>
      <c r="B99" s="51" t="s">
        <v>43</v>
      </c>
      <c r="C99" s="88"/>
      <c r="D99" s="77"/>
      <c r="E99" s="77"/>
      <c r="F99" s="62"/>
    </row>
    <row r="100" spans="1:6" s="30" customFormat="1" x14ac:dyDescent="0.25">
      <c r="A100" s="384"/>
      <c r="B100" s="51" t="s">
        <v>44</v>
      </c>
      <c r="C100" s="94"/>
      <c r="D100" s="77"/>
      <c r="E100" s="77"/>
      <c r="F100" s="62"/>
    </row>
    <row r="101" spans="1:6" s="30" customFormat="1" x14ac:dyDescent="0.25">
      <c r="A101" s="384"/>
      <c r="B101" s="50" t="s">
        <v>142</v>
      </c>
      <c r="C101" s="55">
        <v>0.05</v>
      </c>
      <c r="D101" s="77">
        <f>+D95*C101</f>
        <v>662.69</v>
      </c>
      <c r="E101" s="77">
        <f>+E95*C101</f>
        <v>662.69</v>
      </c>
      <c r="F101" s="62">
        <f>+F95*C101</f>
        <v>662.69</v>
      </c>
    </row>
    <row r="102" spans="1:6" s="30" customFormat="1" x14ac:dyDescent="0.25">
      <c r="A102" s="251"/>
      <c r="B102" s="98" t="s">
        <v>45</v>
      </c>
      <c r="C102" s="99">
        <f>SUM(C97:C101)</f>
        <v>0.14249999999999999</v>
      </c>
      <c r="D102" s="100">
        <f>SUM(D97:D101)</f>
        <v>1888.67</v>
      </c>
      <c r="E102" s="100">
        <f>SUM(E97:E101)</f>
        <v>1888.67</v>
      </c>
      <c r="F102" s="170">
        <f>SUM(F97:F101)</f>
        <v>1888.67</v>
      </c>
    </row>
    <row r="103" spans="1:6" s="30" customFormat="1" ht="15.75" customHeight="1" x14ac:dyDescent="0.25">
      <c r="A103" s="366" t="s">
        <v>46</v>
      </c>
      <c r="B103" s="367"/>
      <c r="C103" s="367"/>
      <c r="D103" s="79">
        <f>+D92+D93+D102</f>
        <v>2921.27</v>
      </c>
      <c r="E103" s="79">
        <f>+E92+E93+E102</f>
        <v>2921.27</v>
      </c>
      <c r="F103" s="63">
        <f>+F92+F93+F102</f>
        <v>2921.27</v>
      </c>
    </row>
    <row r="104" spans="1:6" s="30" customFormat="1" ht="15.75" customHeight="1" x14ac:dyDescent="0.25">
      <c r="A104" s="385" t="s">
        <v>47</v>
      </c>
      <c r="B104" s="386"/>
      <c r="C104" s="386"/>
      <c r="D104" s="70" t="s">
        <v>10</v>
      </c>
      <c r="E104" s="70" t="s">
        <v>10</v>
      </c>
      <c r="F104" s="171" t="s">
        <v>10</v>
      </c>
    </row>
    <row r="105" spans="1:6" s="30" customFormat="1" x14ac:dyDescent="0.25">
      <c r="A105" s="49" t="s">
        <v>0</v>
      </c>
      <c r="B105" s="387" t="s">
        <v>48</v>
      </c>
      <c r="C105" s="387"/>
      <c r="D105" s="77">
        <f>D25</f>
        <v>5314.8</v>
      </c>
      <c r="E105" s="77">
        <f>E25</f>
        <v>5314.8</v>
      </c>
      <c r="F105" s="62">
        <f>F25</f>
        <v>5314.8</v>
      </c>
    </row>
    <row r="106" spans="1:6" s="30" customFormat="1" x14ac:dyDescent="0.25">
      <c r="A106" s="49" t="s">
        <v>2</v>
      </c>
      <c r="B106" s="387" t="s">
        <v>159</v>
      </c>
      <c r="C106" s="387"/>
      <c r="D106" s="77">
        <f>D53</f>
        <v>3369.26</v>
      </c>
      <c r="E106" s="77">
        <f>E53</f>
        <v>3369.26</v>
      </c>
      <c r="F106" s="62">
        <f>F53</f>
        <v>3369.26</v>
      </c>
    </row>
    <row r="107" spans="1:6" s="30" customFormat="1" x14ac:dyDescent="0.25">
      <c r="A107" s="49" t="s">
        <v>3</v>
      </c>
      <c r="B107" s="387" t="s">
        <v>157</v>
      </c>
      <c r="C107" s="387"/>
      <c r="D107" s="77">
        <f>D61</f>
        <v>380.02</v>
      </c>
      <c r="E107" s="77">
        <f>E61</f>
        <v>380.02</v>
      </c>
      <c r="F107" s="62">
        <f>F61</f>
        <v>380.02</v>
      </c>
    </row>
    <row r="108" spans="1:6" s="30" customFormat="1" x14ac:dyDescent="0.25">
      <c r="A108" s="49" t="s">
        <v>5</v>
      </c>
      <c r="B108" s="387" t="s">
        <v>150</v>
      </c>
      <c r="C108" s="387"/>
      <c r="D108" s="77">
        <f>D81</f>
        <v>264.83</v>
      </c>
      <c r="E108" s="77">
        <f>E81</f>
        <v>264.83</v>
      </c>
      <c r="F108" s="62">
        <f>F81</f>
        <v>264.83</v>
      </c>
    </row>
    <row r="109" spans="1:6" s="30" customFormat="1" x14ac:dyDescent="0.25">
      <c r="A109" s="49" t="s">
        <v>20</v>
      </c>
      <c r="B109" s="387" t="s">
        <v>158</v>
      </c>
      <c r="C109" s="387"/>
      <c r="D109" s="77">
        <f>D88</f>
        <v>1003.59</v>
      </c>
      <c r="E109" s="77">
        <f>E88</f>
        <v>1003.59</v>
      </c>
      <c r="F109" s="62">
        <f>F88</f>
        <v>1003.59</v>
      </c>
    </row>
    <row r="110" spans="1:6" s="30" customFormat="1" ht="15.75" customHeight="1" x14ac:dyDescent="0.25">
      <c r="A110" s="384" t="s">
        <v>160</v>
      </c>
      <c r="B110" s="388"/>
      <c r="C110" s="388"/>
      <c r="D110" s="100">
        <f>SUM(D105:D109)</f>
        <v>10332.5</v>
      </c>
      <c r="E110" s="100">
        <f>SUM(E105:E109)</f>
        <v>10332.5</v>
      </c>
      <c r="F110" s="170">
        <f>SUM(F105:F109)</f>
        <v>10332.5</v>
      </c>
    </row>
    <row r="111" spans="1:6" s="30" customFormat="1" x14ac:dyDescent="0.25">
      <c r="A111" s="251" t="s">
        <v>20</v>
      </c>
      <c r="B111" s="387" t="s">
        <v>161</v>
      </c>
      <c r="C111" s="387"/>
      <c r="D111" s="77">
        <f>+D103</f>
        <v>2921.27</v>
      </c>
      <c r="E111" s="77">
        <f>+E103</f>
        <v>2921.27</v>
      </c>
      <c r="F111" s="62">
        <f>+F103</f>
        <v>2921.27</v>
      </c>
    </row>
    <row r="112" spans="1:6" s="30" customFormat="1" ht="16.5" customHeight="1" thickBot="1" x14ac:dyDescent="0.3">
      <c r="A112" s="381" t="s">
        <v>49</v>
      </c>
      <c r="B112" s="382"/>
      <c r="C112" s="382"/>
      <c r="D112" s="147">
        <f>+D110+D111</f>
        <v>13253.77</v>
      </c>
      <c r="E112" s="147">
        <f>+E110+E111</f>
        <v>13253.77</v>
      </c>
      <c r="F112" s="203">
        <f>+F110+F111</f>
        <v>13253.77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A31:F31"/>
    <mergeCell ref="A10:F10"/>
    <mergeCell ref="D11:F11"/>
    <mergeCell ref="C12:F12"/>
    <mergeCell ref="C13:F13"/>
    <mergeCell ref="C14:F14"/>
    <mergeCell ref="A25:C25"/>
    <mergeCell ref="A11:C11"/>
    <mergeCell ref="A16:C16"/>
    <mergeCell ref="B17:C17"/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104:C104"/>
    <mergeCell ref="B83:C83"/>
    <mergeCell ref="B84:C84"/>
    <mergeCell ref="B85:C85"/>
    <mergeCell ref="B86:C86"/>
    <mergeCell ref="B87:C87"/>
    <mergeCell ref="A88:C88"/>
    <mergeCell ref="A89:C89"/>
    <mergeCell ref="B91:C91"/>
    <mergeCell ref="A94:A101"/>
    <mergeCell ref="A103:C103"/>
    <mergeCell ref="A90:C90"/>
    <mergeCell ref="A75:C75"/>
    <mergeCell ref="A76:C76"/>
    <mergeCell ref="A61:C61"/>
    <mergeCell ref="B63:C63"/>
    <mergeCell ref="A70:B70"/>
    <mergeCell ref="B72:C72"/>
    <mergeCell ref="A74:B74"/>
    <mergeCell ref="A82:C82"/>
    <mergeCell ref="B55:C55"/>
    <mergeCell ref="A26:C26"/>
    <mergeCell ref="B27:C27"/>
    <mergeCell ref="A30:B30"/>
    <mergeCell ref="B32:C32"/>
    <mergeCell ref="A41:B41"/>
    <mergeCell ref="B42:C42"/>
    <mergeCell ref="A48:C48"/>
    <mergeCell ref="A53:C53"/>
    <mergeCell ref="A49:C49"/>
    <mergeCell ref="A54:C54"/>
    <mergeCell ref="B77:C77"/>
    <mergeCell ref="A80:B80"/>
    <mergeCell ref="A81:C81"/>
    <mergeCell ref="A62:C62"/>
    <mergeCell ref="C7:F7"/>
    <mergeCell ref="A8:F8"/>
    <mergeCell ref="A9:F9"/>
    <mergeCell ref="A1:F1"/>
    <mergeCell ref="A2:F2"/>
    <mergeCell ref="A3:F3"/>
    <mergeCell ref="C4:F4"/>
    <mergeCell ref="C5:F5"/>
    <mergeCell ref="C6:F6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83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4.42578125" style="29" bestFit="1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391"/>
      <c r="B1" s="392"/>
      <c r="C1" s="392"/>
      <c r="D1" s="392"/>
      <c r="E1" s="392"/>
      <c r="F1" s="393"/>
    </row>
    <row r="2" spans="1:6" s="38" customFormat="1" ht="16.5" customHeight="1" x14ac:dyDescent="0.25">
      <c r="A2" s="394" t="s">
        <v>132</v>
      </c>
      <c r="B2" s="395"/>
      <c r="C2" s="395"/>
      <c r="D2" s="395"/>
      <c r="E2" s="395"/>
      <c r="F2" s="396"/>
    </row>
    <row r="3" spans="1:6" s="38" customFormat="1" x14ac:dyDescent="0.25">
      <c r="A3" s="397" t="s">
        <v>129</v>
      </c>
      <c r="B3" s="398"/>
      <c r="C3" s="398"/>
      <c r="D3" s="398"/>
      <c r="E3" s="398"/>
      <c r="F3" s="399"/>
    </row>
    <row r="4" spans="1:6" s="38" customFormat="1" ht="15" customHeight="1" x14ac:dyDescent="0.25">
      <c r="A4" s="40" t="s">
        <v>0</v>
      </c>
      <c r="B4" s="41" t="s">
        <v>1</v>
      </c>
      <c r="C4" s="400">
        <v>2024</v>
      </c>
      <c r="D4" s="400"/>
      <c r="E4" s="400"/>
      <c r="F4" s="401"/>
    </row>
    <row r="5" spans="1:6" s="38" customFormat="1" ht="75" customHeight="1" x14ac:dyDescent="0.25">
      <c r="A5" s="40" t="s">
        <v>2</v>
      </c>
      <c r="B5" s="41" t="s">
        <v>140</v>
      </c>
      <c r="C5" s="402" t="s">
        <v>266</v>
      </c>
      <c r="D5" s="402"/>
      <c r="E5" s="402"/>
      <c r="F5" s="403"/>
    </row>
    <row r="6" spans="1:6" s="38" customFormat="1" ht="15.75" customHeight="1" x14ac:dyDescent="0.25">
      <c r="A6" s="40" t="s">
        <v>3</v>
      </c>
      <c r="B6" s="41" t="s">
        <v>4</v>
      </c>
      <c r="C6" s="402" t="s">
        <v>242</v>
      </c>
      <c r="D6" s="402"/>
      <c r="E6" s="402"/>
      <c r="F6" s="403"/>
    </row>
    <row r="7" spans="1:6" s="38" customFormat="1" x14ac:dyDescent="0.25">
      <c r="A7" s="40" t="s">
        <v>5</v>
      </c>
      <c r="B7" s="41" t="s">
        <v>143</v>
      </c>
      <c r="C7" s="402">
        <v>12</v>
      </c>
      <c r="D7" s="402"/>
      <c r="E7" s="402"/>
      <c r="F7" s="403"/>
    </row>
    <row r="8" spans="1:6" s="38" customFormat="1" x14ac:dyDescent="0.25">
      <c r="A8" s="397" t="s">
        <v>6</v>
      </c>
      <c r="B8" s="398"/>
      <c r="C8" s="398"/>
      <c r="D8" s="398"/>
      <c r="E8" s="398"/>
      <c r="F8" s="399"/>
    </row>
    <row r="9" spans="1:6" s="38" customFormat="1" x14ac:dyDescent="0.25">
      <c r="A9" s="397" t="s">
        <v>7</v>
      </c>
      <c r="B9" s="398"/>
      <c r="C9" s="398"/>
      <c r="D9" s="398"/>
      <c r="E9" s="398"/>
      <c r="F9" s="399"/>
    </row>
    <row r="10" spans="1:6" s="38" customFormat="1" ht="15.75" customHeight="1" x14ac:dyDescent="0.25">
      <c r="A10" s="397" t="s">
        <v>8</v>
      </c>
      <c r="B10" s="398"/>
      <c r="C10" s="398"/>
      <c r="D10" s="398"/>
      <c r="E10" s="398"/>
      <c r="F10" s="399"/>
    </row>
    <row r="11" spans="1:6" s="38" customFormat="1" ht="30" customHeight="1" x14ac:dyDescent="0.25">
      <c r="A11" s="426" t="s">
        <v>9</v>
      </c>
      <c r="B11" s="427"/>
      <c r="C11" s="427"/>
      <c r="D11" s="434" t="s">
        <v>10</v>
      </c>
      <c r="E11" s="434"/>
      <c r="F11" s="435"/>
    </row>
    <row r="12" spans="1:6" s="38" customFormat="1" ht="60" customHeight="1" x14ac:dyDescent="0.25">
      <c r="A12" s="40">
        <v>1</v>
      </c>
      <c r="B12" s="42" t="s">
        <v>133</v>
      </c>
      <c r="C12" s="414" t="s">
        <v>267</v>
      </c>
      <c r="D12" s="414"/>
      <c r="E12" s="414"/>
      <c r="F12" s="415"/>
    </row>
    <row r="13" spans="1:6" s="38" customFormat="1" ht="30" customHeight="1" x14ac:dyDescent="0.25">
      <c r="A13" s="40">
        <v>2</v>
      </c>
      <c r="B13" s="42" t="s">
        <v>11</v>
      </c>
      <c r="C13" s="447">
        <v>4750</v>
      </c>
      <c r="D13" s="447"/>
      <c r="E13" s="447"/>
      <c r="F13" s="448"/>
    </row>
    <row r="14" spans="1:6" s="38" customFormat="1" ht="15.75" customHeight="1" x14ac:dyDescent="0.25">
      <c r="A14" s="40">
        <v>3</v>
      </c>
      <c r="B14" s="42" t="s">
        <v>12</v>
      </c>
      <c r="C14" s="414" t="s">
        <v>239</v>
      </c>
      <c r="D14" s="414"/>
      <c r="E14" s="414"/>
      <c r="F14" s="415"/>
    </row>
    <row r="15" spans="1:6" s="38" customFormat="1" x14ac:dyDescent="0.25">
      <c r="A15" s="40">
        <v>4</v>
      </c>
      <c r="B15" s="43" t="s">
        <v>13</v>
      </c>
      <c r="C15" s="404"/>
      <c r="D15" s="404"/>
      <c r="E15" s="404"/>
      <c r="F15" s="405"/>
    </row>
    <row r="16" spans="1:6" s="39" customFormat="1" x14ac:dyDescent="0.25">
      <c r="A16" s="416" t="s">
        <v>14</v>
      </c>
      <c r="B16" s="417"/>
      <c r="C16" s="417"/>
      <c r="D16" s="250" t="s">
        <v>271</v>
      </c>
      <c r="E16" s="250" t="s">
        <v>271</v>
      </c>
      <c r="F16" s="261" t="s">
        <v>311</v>
      </c>
    </row>
    <row r="17" spans="1:6" s="39" customFormat="1" x14ac:dyDescent="0.25">
      <c r="A17" s="257">
        <v>1</v>
      </c>
      <c r="B17" s="374" t="s">
        <v>15</v>
      </c>
      <c r="C17" s="374"/>
      <c r="D17" s="57" t="s">
        <v>10</v>
      </c>
      <c r="E17" s="57" t="s">
        <v>10</v>
      </c>
      <c r="F17" s="58" t="s">
        <v>10</v>
      </c>
    </row>
    <row r="18" spans="1:6" s="38" customFormat="1" ht="15.75" customHeight="1" x14ac:dyDescent="0.25">
      <c r="A18" s="44" t="s">
        <v>0</v>
      </c>
      <c r="B18" s="45" t="s">
        <v>16</v>
      </c>
      <c r="C18" s="43"/>
      <c r="D18" s="74">
        <f>C13</f>
        <v>4750</v>
      </c>
      <c r="E18" s="74">
        <f>C13</f>
        <v>4750</v>
      </c>
      <c r="F18" s="59">
        <f>C13</f>
        <v>4750</v>
      </c>
    </row>
    <row r="19" spans="1:6" s="38" customFormat="1" ht="15.75" customHeight="1" x14ac:dyDescent="0.25">
      <c r="A19" s="44" t="s">
        <v>2</v>
      </c>
      <c r="B19" s="45" t="s">
        <v>17</v>
      </c>
      <c r="C19" s="75"/>
      <c r="D19" s="76"/>
      <c r="E19" s="76"/>
      <c r="F19" s="60"/>
    </row>
    <row r="20" spans="1:6" s="38" customFormat="1" ht="15.75" customHeight="1" x14ac:dyDescent="0.25">
      <c r="A20" s="44" t="s">
        <v>3</v>
      </c>
      <c r="B20" s="45" t="s">
        <v>18</v>
      </c>
      <c r="C20" s="108" t="s">
        <v>245</v>
      </c>
      <c r="D20" s="76">
        <f>40%*1412</f>
        <v>564.79999999999995</v>
      </c>
      <c r="E20" s="76">
        <f>40%*1412</f>
        <v>564.79999999999995</v>
      </c>
      <c r="F20" s="60">
        <f>40%*1412</f>
        <v>564.79999999999995</v>
      </c>
    </row>
    <row r="21" spans="1:6" s="38" customFormat="1" ht="15.75" customHeight="1" x14ac:dyDescent="0.25">
      <c r="A21" s="44" t="s">
        <v>5</v>
      </c>
      <c r="B21" s="45" t="s">
        <v>19</v>
      </c>
      <c r="C21" s="75"/>
      <c r="D21" s="76">
        <f>((((D18+D20)/220)*20%)*8)*15</f>
        <v>579.79999999999995</v>
      </c>
      <c r="E21" s="76">
        <f>((((E18+E20)/220)*20%)*8)*15</f>
        <v>579.79999999999995</v>
      </c>
      <c r="F21" s="60">
        <f>((((F18+F20)/220)*20%)*8)*15</f>
        <v>579.79999999999995</v>
      </c>
    </row>
    <row r="22" spans="1:6" s="38" customFormat="1" ht="15.75" customHeight="1" x14ac:dyDescent="0.25">
      <c r="A22" s="44" t="s">
        <v>20</v>
      </c>
      <c r="B22" s="45" t="s">
        <v>204</v>
      </c>
      <c r="C22" s="75"/>
      <c r="D22" s="76"/>
      <c r="E22" s="76"/>
      <c r="F22" s="60"/>
    </row>
    <row r="23" spans="1:6" s="38" customFormat="1" x14ac:dyDescent="0.25">
      <c r="A23" s="44" t="s">
        <v>21</v>
      </c>
      <c r="B23" s="45" t="s">
        <v>138</v>
      </c>
      <c r="C23" s="48"/>
      <c r="D23" s="76"/>
      <c r="E23" s="76"/>
      <c r="F23" s="60"/>
    </row>
    <row r="24" spans="1:6" s="38" customFormat="1" ht="15.75" customHeight="1" x14ac:dyDescent="0.25">
      <c r="A24" s="44" t="s">
        <v>22</v>
      </c>
      <c r="B24" s="46" t="s">
        <v>139</v>
      </c>
      <c r="C24" s="48"/>
      <c r="D24" s="76"/>
      <c r="E24" s="76"/>
      <c r="F24" s="60"/>
    </row>
    <row r="25" spans="1:6" s="39" customFormat="1" ht="15.75" customHeight="1" x14ac:dyDescent="0.25">
      <c r="A25" s="368" t="s">
        <v>152</v>
      </c>
      <c r="B25" s="369"/>
      <c r="C25" s="369"/>
      <c r="D25" s="65">
        <f>SUM(D18:D24)</f>
        <v>5894.6</v>
      </c>
      <c r="E25" s="65">
        <f>SUM(E18:E24)</f>
        <v>5894.6</v>
      </c>
      <c r="F25" s="61">
        <f>SUM(F18:F24)</f>
        <v>5894.6</v>
      </c>
    </row>
    <row r="26" spans="1:6" s="39" customFormat="1" x14ac:dyDescent="0.25">
      <c r="A26" s="416" t="s">
        <v>51</v>
      </c>
      <c r="B26" s="417"/>
      <c r="C26" s="417"/>
      <c r="D26" s="238"/>
      <c r="E26" s="238"/>
      <c r="F26" s="239"/>
    </row>
    <row r="27" spans="1:6" s="38" customFormat="1" x14ac:dyDescent="0.25">
      <c r="A27" s="251" t="s">
        <v>141</v>
      </c>
      <c r="B27" s="376" t="s">
        <v>205</v>
      </c>
      <c r="C27" s="378"/>
      <c r="D27" s="68" t="s">
        <v>10</v>
      </c>
      <c r="E27" s="68" t="s">
        <v>10</v>
      </c>
      <c r="F27" s="152" t="s">
        <v>10</v>
      </c>
    </row>
    <row r="28" spans="1:6" s="38" customFormat="1" x14ac:dyDescent="0.25">
      <c r="A28" s="49" t="s">
        <v>0</v>
      </c>
      <c r="B28" s="50" t="s">
        <v>28</v>
      </c>
      <c r="C28" s="55">
        <f>1/12</f>
        <v>8.3299999999999999E-2</v>
      </c>
      <c r="D28" s="77">
        <f>(D25)*C28</f>
        <v>491.02</v>
      </c>
      <c r="E28" s="77">
        <f>(E25)*C28</f>
        <v>491.02</v>
      </c>
      <c r="F28" s="62">
        <f>(F25)*C28</f>
        <v>491.02</v>
      </c>
    </row>
    <row r="29" spans="1:6" s="38" customFormat="1" x14ac:dyDescent="0.25">
      <c r="A29" s="49" t="s">
        <v>2</v>
      </c>
      <c r="B29" s="50" t="s">
        <v>148</v>
      </c>
      <c r="C29" s="55">
        <v>0.1111</v>
      </c>
      <c r="D29" s="77">
        <f>(D25)*C29</f>
        <v>654.89</v>
      </c>
      <c r="E29" s="77">
        <f>(E25)*C29</f>
        <v>654.89</v>
      </c>
      <c r="F29" s="62">
        <f>(F25)*C29</f>
        <v>654.89</v>
      </c>
    </row>
    <row r="30" spans="1:6" x14ac:dyDescent="0.25">
      <c r="A30" s="366" t="s">
        <v>27</v>
      </c>
      <c r="B30" s="367"/>
      <c r="C30" s="91">
        <f>SUM(C28:C29)</f>
        <v>0.19439999999999999</v>
      </c>
      <c r="D30" s="79">
        <f>SUM(D28:D29)</f>
        <v>1145.9100000000001</v>
      </c>
      <c r="E30" s="79">
        <f>SUM(E28:E29)</f>
        <v>1145.9100000000001</v>
      </c>
      <c r="F30" s="63">
        <f>SUM(F28:F29)</f>
        <v>1145.9100000000001</v>
      </c>
    </row>
    <row r="31" spans="1:6" ht="32.25" customHeight="1" x14ac:dyDescent="0.25">
      <c r="A31" s="444" t="s">
        <v>190</v>
      </c>
      <c r="B31" s="445"/>
      <c r="C31" s="445"/>
      <c r="D31" s="445"/>
      <c r="E31" s="445"/>
      <c r="F31" s="446"/>
    </row>
    <row r="32" spans="1:6" x14ac:dyDescent="0.25">
      <c r="A32" s="246" t="s">
        <v>141</v>
      </c>
      <c r="B32" s="428" t="s">
        <v>25</v>
      </c>
      <c r="C32" s="429"/>
      <c r="D32" s="69" t="s">
        <v>10</v>
      </c>
      <c r="E32" s="69" t="s">
        <v>10</v>
      </c>
      <c r="F32" s="151" t="s">
        <v>10</v>
      </c>
    </row>
    <row r="33" spans="1:6" x14ac:dyDescent="0.25">
      <c r="A33" s="49" t="s">
        <v>0</v>
      </c>
      <c r="B33" s="80" t="s">
        <v>207</v>
      </c>
      <c r="C33" s="55">
        <v>0.2</v>
      </c>
      <c r="D33" s="77">
        <f t="shared" ref="D33:D40" si="0">($E$25+D$30)*C33</f>
        <v>1408.1</v>
      </c>
      <c r="E33" s="77">
        <f t="shared" ref="E33:E40" si="1">($E$25+E$30)*C33</f>
        <v>1408.1</v>
      </c>
      <c r="F33" s="62">
        <f t="shared" ref="F33:F40" si="2">($F$25+F$30)*C33</f>
        <v>1408.1</v>
      </c>
    </row>
    <row r="34" spans="1:6" x14ac:dyDescent="0.25">
      <c r="A34" s="49" t="s">
        <v>2</v>
      </c>
      <c r="B34" s="80" t="s">
        <v>208</v>
      </c>
      <c r="C34" s="81">
        <v>1.4999999999999999E-2</v>
      </c>
      <c r="D34" s="77">
        <f t="shared" si="0"/>
        <v>105.61</v>
      </c>
      <c r="E34" s="77">
        <f t="shared" si="1"/>
        <v>105.61</v>
      </c>
      <c r="F34" s="62">
        <f t="shared" si="2"/>
        <v>105.61</v>
      </c>
    </row>
    <row r="35" spans="1:6" x14ac:dyDescent="0.25">
      <c r="A35" s="49" t="s">
        <v>3</v>
      </c>
      <c r="B35" s="80" t="s">
        <v>209</v>
      </c>
      <c r="C35" s="81">
        <v>0.01</v>
      </c>
      <c r="D35" s="77">
        <f t="shared" si="0"/>
        <v>70.41</v>
      </c>
      <c r="E35" s="77">
        <f t="shared" si="1"/>
        <v>70.41</v>
      </c>
      <c r="F35" s="62">
        <f t="shared" si="2"/>
        <v>70.41</v>
      </c>
    </row>
    <row r="36" spans="1:6" ht="31.5" x14ac:dyDescent="0.25">
      <c r="A36" s="49" t="s">
        <v>5</v>
      </c>
      <c r="B36" s="249" t="s">
        <v>210</v>
      </c>
      <c r="C36" s="81">
        <v>2E-3</v>
      </c>
      <c r="D36" s="77">
        <f t="shared" si="0"/>
        <v>14.08</v>
      </c>
      <c r="E36" s="77">
        <f t="shared" si="1"/>
        <v>14.08</v>
      </c>
      <c r="F36" s="62">
        <f t="shared" si="2"/>
        <v>14.08</v>
      </c>
    </row>
    <row r="37" spans="1:6" x14ac:dyDescent="0.25">
      <c r="A37" s="49" t="s">
        <v>20</v>
      </c>
      <c r="B37" s="80" t="s">
        <v>211</v>
      </c>
      <c r="C37" s="81">
        <v>2.5000000000000001E-2</v>
      </c>
      <c r="D37" s="77">
        <f t="shared" si="0"/>
        <v>176.01</v>
      </c>
      <c r="E37" s="77">
        <f t="shared" si="1"/>
        <v>176.01</v>
      </c>
      <c r="F37" s="62">
        <f t="shared" si="2"/>
        <v>176.01</v>
      </c>
    </row>
    <row r="38" spans="1:6" x14ac:dyDescent="0.25">
      <c r="A38" s="49" t="s">
        <v>21</v>
      </c>
      <c r="B38" s="107" t="s">
        <v>212</v>
      </c>
      <c r="C38" s="81">
        <v>0.08</v>
      </c>
      <c r="D38" s="77">
        <f t="shared" si="0"/>
        <v>563.24</v>
      </c>
      <c r="E38" s="77">
        <f t="shared" si="1"/>
        <v>563.24</v>
      </c>
      <c r="F38" s="62">
        <f t="shared" si="2"/>
        <v>563.24</v>
      </c>
    </row>
    <row r="39" spans="1:6" ht="47.25" x14ac:dyDescent="0.25">
      <c r="A39" s="49" t="s">
        <v>22</v>
      </c>
      <c r="B39" s="249" t="s">
        <v>213</v>
      </c>
      <c r="C39" s="81">
        <v>0.03</v>
      </c>
      <c r="D39" s="77">
        <f t="shared" si="0"/>
        <v>211.22</v>
      </c>
      <c r="E39" s="77">
        <f t="shared" si="1"/>
        <v>211.22</v>
      </c>
      <c r="F39" s="62">
        <f t="shared" si="2"/>
        <v>211.22</v>
      </c>
    </row>
    <row r="40" spans="1:6" x14ac:dyDescent="0.25">
      <c r="A40" s="49" t="s">
        <v>26</v>
      </c>
      <c r="B40" s="106" t="s">
        <v>214</v>
      </c>
      <c r="C40" s="81">
        <v>6.0000000000000001E-3</v>
      </c>
      <c r="D40" s="77">
        <f t="shared" si="0"/>
        <v>42.24</v>
      </c>
      <c r="E40" s="77">
        <f t="shared" si="1"/>
        <v>42.24</v>
      </c>
      <c r="F40" s="62">
        <f t="shared" si="2"/>
        <v>42.24</v>
      </c>
    </row>
    <row r="41" spans="1:6" s="30" customFormat="1" x14ac:dyDescent="0.25">
      <c r="A41" s="366" t="s">
        <v>27</v>
      </c>
      <c r="B41" s="367"/>
      <c r="C41" s="56">
        <f>SUM(C33:C40)</f>
        <v>0.36799999999999999</v>
      </c>
      <c r="D41" s="79">
        <f>SUM(D33:D40)</f>
        <v>2590.91</v>
      </c>
      <c r="E41" s="79">
        <f>SUM(E33:E40)</f>
        <v>2590.91</v>
      </c>
      <c r="F41" s="63">
        <f>SUM(F33:F40)</f>
        <v>2590.91</v>
      </c>
    </row>
    <row r="42" spans="1:6" s="30" customFormat="1" x14ac:dyDescent="0.25">
      <c r="A42" s="370" t="s">
        <v>173</v>
      </c>
      <c r="B42" s="371"/>
      <c r="C42" s="371"/>
      <c r="D42" s="226"/>
      <c r="E42" s="226"/>
      <c r="F42" s="227"/>
    </row>
    <row r="43" spans="1:6" s="30" customFormat="1" x14ac:dyDescent="0.25">
      <c r="A43" s="73" t="s">
        <v>216</v>
      </c>
      <c r="B43" s="430" t="s">
        <v>217</v>
      </c>
      <c r="C43" s="431"/>
      <c r="D43" s="260"/>
      <c r="E43" s="245"/>
      <c r="F43" s="262"/>
    </row>
    <row r="44" spans="1:6" s="30" customFormat="1" x14ac:dyDescent="0.25">
      <c r="A44" s="90" t="s">
        <v>0</v>
      </c>
      <c r="B44" s="53" t="s">
        <v>144</v>
      </c>
      <c r="C44" s="105"/>
      <c r="D44" s="101">
        <v>0</v>
      </c>
      <c r="E44" s="101">
        <v>0</v>
      </c>
      <c r="F44" s="242">
        <v>0</v>
      </c>
    </row>
    <row r="45" spans="1:6" s="30" customFormat="1" x14ac:dyDescent="0.25">
      <c r="A45" s="47" t="s">
        <v>2</v>
      </c>
      <c r="B45" s="46" t="s">
        <v>191</v>
      </c>
      <c r="C45" s="72"/>
      <c r="D45" s="74">
        <v>0</v>
      </c>
      <c r="E45" s="74">
        <v>0</v>
      </c>
      <c r="F45" s="59">
        <v>0</v>
      </c>
    </row>
    <row r="46" spans="1:6" s="30" customFormat="1" x14ac:dyDescent="0.25">
      <c r="A46" s="49" t="s">
        <v>3</v>
      </c>
      <c r="B46" s="50" t="s">
        <v>134</v>
      </c>
      <c r="C46" s="66"/>
      <c r="D46" s="84">
        <v>0</v>
      </c>
      <c r="E46" s="84">
        <v>0</v>
      </c>
      <c r="F46" s="165">
        <v>0</v>
      </c>
    </row>
    <row r="47" spans="1:6" s="30" customFormat="1" x14ac:dyDescent="0.25">
      <c r="A47" s="49" t="s">
        <v>5</v>
      </c>
      <c r="B47" s="50" t="s">
        <v>135</v>
      </c>
      <c r="C47" s="55"/>
      <c r="D47" s="84">
        <v>0</v>
      </c>
      <c r="E47" s="84">
        <v>0</v>
      </c>
      <c r="F47" s="165">
        <v>0</v>
      </c>
    </row>
    <row r="48" spans="1:6" s="30" customFormat="1" x14ac:dyDescent="0.25">
      <c r="A48" s="49" t="s">
        <v>20</v>
      </c>
      <c r="B48" s="50" t="s">
        <v>136</v>
      </c>
      <c r="C48" s="66"/>
      <c r="D48" s="77">
        <v>0</v>
      </c>
      <c r="E48" s="77">
        <v>0</v>
      </c>
      <c r="F48" s="62">
        <v>0</v>
      </c>
    </row>
    <row r="49" spans="1:6" s="30" customFormat="1" ht="15.75" customHeight="1" x14ac:dyDescent="0.25">
      <c r="A49" s="366" t="s">
        <v>23</v>
      </c>
      <c r="B49" s="367"/>
      <c r="C49" s="367"/>
      <c r="D49" s="79">
        <f>SUM(D44:D48)</f>
        <v>0</v>
      </c>
      <c r="E49" s="79">
        <f>SUM(E44:E48)</f>
        <v>0</v>
      </c>
      <c r="F49" s="63">
        <f>SUM(F44:F48)</f>
        <v>0</v>
      </c>
    </row>
    <row r="50" spans="1:6" s="30" customFormat="1" ht="15.75" customHeight="1" x14ac:dyDescent="0.25">
      <c r="A50" s="370" t="s">
        <v>224</v>
      </c>
      <c r="B50" s="371"/>
      <c r="C50" s="371"/>
      <c r="D50" s="226"/>
      <c r="E50" s="226"/>
      <c r="F50" s="227"/>
    </row>
    <row r="51" spans="1:6" s="30" customFormat="1" ht="15.75" customHeight="1" x14ac:dyDescent="0.25">
      <c r="A51" s="257" t="s">
        <v>141</v>
      </c>
      <c r="B51" s="102" t="s">
        <v>145</v>
      </c>
      <c r="C51" s="258"/>
      <c r="D51" s="64">
        <f>D30</f>
        <v>1145.9100000000001</v>
      </c>
      <c r="E51" s="64">
        <f>E30</f>
        <v>1145.9100000000001</v>
      </c>
      <c r="F51" s="167">
        <f>F30</f>
        <v>1145.9100000000001</v>
      </c>
    </row>
    <row r="52" spans="1:6" s="30" customFormat="1" ht="15.75" customHeight="1" x14ac:dyDescent="0.25">
      <c r="A52" s="257" t="s">
        <v>215</v>
      </c>
      <c r="B52" s="102" t="s">
        <v>146</v>
      </c>
      <c r="C52" s="258"/>
      <c r="D52" s="64">
        <f>D41</f>
        <v>2590.91</v>
      </c>
      <c r="E52" s="64">
        <f>E41</f>
        <v>2590.91</v>
      </c>
      <c r="F52" s="167">
        <f>F41</f>
        <v>2590.91</v>
      </c>
    </row>
    <row r="53" spans="1:6" s="30" customFormat="1" ht="15.75" customHeight="1" x14ac:dyDescent="0.25">
      <c r="A53" s="257" t="s">
        <v>216</v>
      </c>
      <c r="B53" s="102" t="s">
        <v>147</v>
      </c>
      <c r="C53" s="258"/>
      <c r="D53" s="64">
        <f>D49</f>
        <v>0</v>
      </c>
      <c r="E53" s="64">
        <f>E49</f>
        <v>0</v>
      </c>
      <c r="F53" s="167">
        <f>F49</f>
        <v>0</v>
      </c>
    </row>
    <row r="54" spans="1:6" s="30" customFormat="1" ht="15.75" customHeight="1" x14ac:dyDescent="0.25">
      <c r="A54" s="368" t="s">
        <v>153</v>
      </c>
      <c r="B54" s="369"/>
      <c r="C54" s="369"/>
      <c r="D54" s="65">
        <f>SUM(D51:D53)</f>
        <v>3736.82</v>
      </c>
      <c r="E54" s="65">
        <f>SUM(E51:E53)</f>
        <v>3736.82</v>
      </c>
      <c r="F54" s="61">
        <f>SUM(F51:F53)</f>
        <v>3736.82</v>
      </c>
    </row>
    <row r="55" spans="1:6" s="30" customFormat="1" ht="15.75" customHeight="1" x14ac:dyDescent="0.25">
      <c r="A55" s="416" t="s">
        <v>162</v>
      </c>
      <c r="B55" s="417"/>
      <c r="C55" s="417"/>
      <c r="D55" s="238"/>
      <c r="E55" s="238"/>
      <c r="F55" s="239"/>
    </row>
    <row r="56" spans="1:6" s="30" customFormat="1" ht="15.75" customHeight="1" x14ac:dyDescent="0.25">
      <c r="A56" s="251" t="s">
        <v>200</v>
      </c>
      <c r="B56" s="376" t="s">
        <v>32</v>
      </c>
      <c r="C56" s="377"/>
      <c r="D56" s="68" t="s">
        <v>10</v>
      </c>
      <c r="E56" s="68" t="s">
        <v>10</v>
      </c>
      <c r="F56" s="152" t="s">
        <v>10</v>
      </c>
    </row>
    <row r="57" spans="1:6" s="30" customFormat="1" ht="15.75" customHeight="1" x14ac:dyDescent="0.25">
      <c r="A57" s="49" t="s">
        <v>0</v>
      </c>
      <c r="B57" s="50" t="s">
        <v>33</v>
      </c>
      <c r="C57" s="55">
        <v>4.5999999999999999E-3</v>
      </c>
      <c r="D57" s="77">
        <f>D$25*C57</f>
        <v>27.12</v>
      </c>
      <c r="E57" s="77">
        <f>E$25*C57</f>
        <v>27.12</v>
      </c>
      <c r="F57" s="62">
        <f>F$25*C57</f>
        <v>27.12</v>
      </c>
    </row>
    <row r="58" spans="1:6" s="30" customFormat="1" ht="15.75" customHeight="1" x14ac:dyDescent="0.25">
      <c r="A58" s="49" t="s">
        <v>2</v>
      </c>
      <c r="B58" s="50" t="s">
        <v>34</v>
      </c>
      <c r="C58" s="55">
        <v>4.0000000000000002E-4</v>
      </c>
      <c r="D58" s="77">
        <f>D$25*C58</f>
        <v>2.36</v>
      </c>
      <c r="E58" s="77">
        <f>E$25*C58</f>
        <v>2.36</v>
      </c>
      <c r="F58" s="62">
        <f>F$25*C58</f>
        <v>2.36</v>
      </c>
    </row>
    <row r="59" spans="1:6" s="30" customFormat="1" ht="15.75" customHeight="1" x14ac:dyDescent="0.25">
      <c r="A59" s="49" t="s">
        <v>3</v>
      </c>
      <c r="B59" s="52" t="s">
        <v>35</v>
      </c>
      <c r="C59" s="55">
        <v>1.9400000000000001E-2</v>
      </c>
      <c r="D59" s="77">
        <f>D$25*C59</f>
        <v>114.36</v>
      </c>
      <c r="E59" s="77">
        <f>E$25*C59</f>
        <v>114.36</v>
      </c>
      <c r="F59" s="62">
        <f>F$25*C59</f>
        <v>114.36</v>
      </c>
    </row>
    <row r="60" spans="1:6" s="30" customFormat="1" ht="30.75" customHeight="1" x14ac:dyDescent="0.25">
      <c r="A60" s="49" t="s">
        <v>5</v>
      </c>
      <c r="B60" s="50" t="s">
        <v>174</v>
      </c>
      <c r="C60" s="55">
        <v>7.1000000000000004E-3</v>
      </c>
      <c r="D60" s="77">
        <f>D$25*C60</f>
        <v>41.85</v>
      </c>
      <c r="E60" s="77">
        <f>E$25*C60</f>
        <v>41.85</v>
      </c>
      <c r="F60" s="62">
        <f>F$25*C60</f>
        <v>41.85</v>
      </c>
    </row>
    <row r="61" spans="1:6" s="30" customFormat="1" ht="15.75" customHeight="1" x14ac:dyDescent="0.25">
      <c r="A61" s="49" t="s">
        <v>20</v>
      </c>
      <c r="B61" s="50" t="s">
        <v>149</v>
      </c>
      <c r="C61" s="55">
        <v>0.04</v>
      </c>
      <c r="D61" s="77">
        <f>D$25*C61</f>
        <v>235.78</v>
      </c>
      <c r="E61" s="77">
        <f>E$25*C61</f>
        <v>235.78</v>
      </c>
      <c r="F61" s="62">
        <f>F$25*C61</f>
        <v>235.78</v>
      </c>
    </row>
    <row r="62" spans="1:6" s="30" customFormat="1" x14ac:dyDescent="0.25">
      <c r="A62" s="368" t="s">
        <v>154</v>
      </c>
      <c r="B62" s="369"/>
      <c r="C62" s="369"/>
      <c r="D62" s="65">
        <f>SUM(D57:D61)</f>
        <v>421.47</v>
      </c>
      <c r="E62" s="65">
        <f>SUM(E57:E61)</f>
        <v>421.47</v>
      </c>
      <c r="F62" s="61">
        <f>SUM(F57:F61)</f>
        <v>421.47</v>
      </c>
    </row>
    <row r="63" spans="1:6" s="30" customFormat="1" x14ac:dyDescent="0.25">
      <c r="A63" s="416" t="s">
        <v>163</v>
      </c>
      <c r="B63" s="417"/>
      <c r="C63" s="417"/>
      <c r="D63" s="238"/>
      <c r="E63" s="238"/>
      <c r="F63" s="239"/>
    </row>
    <row r="64" spans="1:6" s="30" customFormat="1" x14ac:dyDescent="0.25">
      <c r="A64" s="251" t="s">
        <v>199</v>
      </c>
      <c r="B64" s="380" t="s">
        <v>198</v>
      </c>
      <c r="C64" s="380"/>
      <c r="D64" s="68" t="s">
        <v>10</v>
      </c>
      <c r="E64" s="68" t="s">
        <v>10</v>
      </c>
      <c r="F64" s="152" t="s">
        <v>10</v>
      </c>
    </row>
    <row r="65" spans="1:6" s="30" customFormat="1" x14ac:dyDescent="0.25">
      <c r="A65" s="49" t="s">
        <v>0</v>
      </c>
      <c r="B65" s="50" t="s">
        <v>192</v>
      </c>
      <c r="C65" s="55">
        <v>9.2999999999999992E-3</v>
      </c>
      <c r="D65" s="77">
        <f t="shared" ref="D65:D70" si="3">(D$25+D$54+D$62+D$85)*C65</f>
        <v>93.83</v>
      </c>
      <c r="E65" s="77">
        <f t="shared" ref="E65:E70" si="4">(E$25+E$54+E$62+E$85)*C65</f>
        <v>93.83</v>
      </c>
      <c r="F65" s="62">
        <f t="shared" ref="F65:F70" si="5">(F$25+F$54+F$62+F$85)*C65</f>
        <v>93.83</v>
      </c>
    </row>
    <row r="66" spans="1:6" s="30" customFormat="1" x14ac:dyDescent="0.25">
      <c r="A66" s="49" t="s">
        <v>2</v>
      </c>
      <c r="B66" s="50" t="s">
        <v>193</v>
      </c>
      <c r="C66" s="55">
        <v>1.66E-2</v>
      </c>
      <c r="D66" s="77">
        <f t="shared" si="3"/>
        <v>167.49</v>
      </c>
      <c r="E66" s="77">
        <f t="shared" si="4"/>
        <v>167.49</v>
      </c>
      <c r="F66" s="62">
        <f t="shared" si="5"/>
        <v>167.49</v>
      </c>
    </row>
    <row r="67" spans="1:6" s="30" customFormat="1" x14ac:dyDescent="0.25">
      <c r="A67" s="49" t="s">
        <v>3</v>
      </c>
      <c r="B67" s="50" t="s">
        <v>194</v>
      </c>
      <c r="C67" s="55">
        <v>2.0000000000000001E-4</v>
      </c>
      <c r="D67" s="77">
        <f t="shared" si="3"/>
        <v>2.02</v>
      </c>
      <c r="E67" s="77">
        <f t="shared" si="4"/>
        <v>2.02</v>
      </c>
      <c r="F67" s="62">
        <f t="shared" si="5"/>
        <v>2.02</v>
      </c>
    </row>
    <row r="68" spans="1:6" s="30" customFormat="1" x14ac:dyDescent="0.25">
      <c r="A68" s="49" t="s">
        <v>5</v>
      </c>
      <c r="B68" s="50" t="s">
        <v>195</v>
      </c>
      <c r="C68" s="55">
        <v>2.7000000000000001E-3</v>
      </c>
      <c r="D68" s="77">
        <f t="shared" si="3"/>
        <v>27.24</v>
      </c>
      <c r="E68" s="77">
        <f t="shared" si="4"/>
        <v>27.24</v>
      </c>
      <c r="F68" s="62">
        <f t="shared" si="5"/>
        <v>27.24</v>
      </c>
    </row>
    <row r="69" spans="1:6" s="30" customFormat="1" x14ac:dyDescent="0.25">
      <c r="A69" s="49" t="s">
        <v>20</v>
      </c>
      <c r="B69" s="50" t="s">
        <v>196</v>
      </c>
      <c r="C69" s="55">
        <v>2.9999999999999997E-4</v>
      </c>
      <c r="D69" s="77">
        <f t="shared" si="3"/>
        <v>3.03</v>
      </c>
      <c r="E69" s="77">
        <f t="shared" si="4"/>
        <v>3.03</v>
      </c>
      <c r="F69" s="62">
        <f t="shared" si="5"/>
        <v>3.03</v>
      </c>
    </row>
    <row r="70" spans="1:6" s="30" customFormat="1" ht="15.75" customHeight="1" x14ac:dyDescent="0.25">
      <c r="A70" s="49" t="s">
        <v>21</v>
      </c>
      <c r="B70" s="254" t="s">
        <v>197</v>
      </c>
      <c r="C70" s="55">
        <v>0</v>
      </c>
      <c r="D70" s="77">
        <f t="shared" si="3"/>
        <v>0</v>
      </c>
      <c r="E70" s="77">
        <f t="shared" si="4"/>
        <v>0</v>
      </c>
      <c r="F70" s="62">
        <f t="shared" si="5"/>
        <v>0</v>
      </c>
    </row>
    <row r="71" spans="1:6" s="30" customFormat="1" x14ac:dyDescent="0.25">
      <c r="A71" s="366" t="s">
        <v>29</v>
      </c>
      <c r="B71" s="367"/>
      <c r="C71" s="56">
        <f>SUM(C65:C70)</f>
        <v>2.9100000000000001E-2</v>
      </c>
      <c r="D71" s="79">
        <f>SUM(D65:D70)</f>
        <v>293.61</v>
      </c>
      <c r="E71" s="79">
        <f>SUM(E65:E70)</f>
        <v>293.61</v>
      </c>
      <c r="F71" s="63">
        <f>SUM(F65:F70)</f>
        <v>293.61</v>
      </c>
    </row>
    <row r="72" spans="1:6" s="30" customFormat="1" x14ac:dyDescent="0.25">
      <c r="A72" s="257"/>
      <c r="B72" s="258"/>
      <c r="C72" s="71"/>
      <c r="D72" s="71"/>
      <c r="E72" s="74"/>
      <c r="F72" s="59"/>
    </row>
    <row r="73" spans="1:6" s="30" customFormat="1" x14ac:dyDescent="0.25">
      <c r="A73" s="257"/>
      <c r="B73" s="374" t="s">
        <v>201</v>
      </c>
      <c r="C73" s="375"/>
      <c r="D73" s="68" t="s">
        <v>10</v>
      </c>
      <c r="E73" s="68" t="s">
        <v>10</v>
      </c>
      <c r="F73" s="152" t="s">
        <v>10</v>
      </c>
    </row>
    <row r="74" spans="1:6" s="30" customFormat="1" x14ac:dyDescent="0.25">
      <c r="A74" s="49" t="s">
        <v>0</v>
      </c>
      <c r="B74" s="50" t="s">
        <v>202</v>
      </c>
      <c r="C74" s="55">
        <v>0</v>
      </c>
      <c r="D74" s="77">
        <f>(D$25+D$54+D$62)*C74</f>
        <v>0</v>
      </c>
      <c r="E74" s="77">
        <f>(E$25+E$54+E$62)*C74</f>
        <v>0</v>
      </c>
      <c r="F74" s="62">
        <f>(F$25+F$54+F$62)*D74</f>
        <v>0</v>
      </c>
    </row>
    <row r="75" spans="1:6" s="30" customFormat="1" ht="15.75" customHeight="1" x14ac:dyDescent="0.25">
      <c r="A75" s="366" t="s">
        <v>27</v>
      </c>
      <c r="B75" s="367"/>
      <c r="C75" s="93">
        <f>C74</f>
        <v>0</v>
      </c>
      <c r="D75" s="79">
        <f>D74</f>
        <v>0</v>
      </c>
      <c r="E75" s="79">
        <f>E74</f>
        <v>0</v>
      </c>
      <c r="F75" s="63">
        <f>F74</f>
        <v>0</v>
      </c>
    </row>
    <row r="76" spans="1:6" s="30" customFormat="1" ht="15.75" customHeight="1" x14ac:dyDescent="0.25">
      <c r="A76" s="370" t="s">
        <v>30</v>
      </c>
      <c r="B76" s="371"/>
      <c r="C76" s="371"/>
      <c r="D76" s="226"/>
      <c r="E76" s="226"/>
      <c r="F76" s="227"/>
    </row>
    <row r="77" spans="1:6" s="30" customFormat="1" ht="15.75" customHeight="1" x14ac:dyDescent="0.25">
      <c r="A77" s="432" t="s">
        <v>203</v>
      </c>
      <c r="B77" s="433"/>
      <c r="C77" s="433"/>
      <c r="D77" s="98"/>
      <c r="E77" s="98"/>
      <c r="F77" s="241"/>
    </row>
    <row r="78" spans="1:6" s="30" customFormat="1" ht="15.75" customHeight="1" x14ac:dyDescent="0.25">
      <c r="A78" s="251">
        <v>4</v>
      </c>
      <c r="B78" s="376" t="s">
        <v>31</v>
      </c>
      <c r="C78" s="377"/>
      <c r="D78" s="68" t="s">
        <v>10</v>
      </c>
      <c r="E78" s="68" t="s">
        <v>10</v>
      </c>
      <c r="F78" s="152" t="s">
        <v>10</v>
      </c>
    </row>
    <row r="79" spans="1:6" s="30" customFormat="1" ht="15.75" customHeight="1" x14ac:dyDescent="0.25">
      <c r="A79" s="49" t="s">
        <v>199</v>
      </c>
      <c r="B79" s="254" t="s">
        <v>198</v>
      </c>
      <c r="C79" s="55">
        <v>2.9899999999999999E-2</v>
      </c>
      <c r="D79" s="77">
        <f>D71</f>
        <v>293.61</v>
      </c>
      <c r="E79" s="77">
        <f>E71</f>
        <v>293.61</v>
      </c>
      <c r="F79" s="62">
        <f>F71</f>
        <v>293.61</v>
      </c>
    </row>
    <row r="80" spans="1:6" s="30" customFormat="1" ht="15.75" customHeight="1" x14ac:dyDescent="0.25">
      <c r="A80" s="49" t="s">
        <v>221</v>
      </c>
      <c r="B80" s="254" t="s">
        <v>201</v>
      </c>
      <c r="C80" s="55">
        <v>0</v>
      </c>
      <c r="D80" s="77">
        <f>(D$25+D$54+D$62)*C80</f>
        <v>0</v>
      </c>
      <c r="E80" s="77">
        <f>(E$25+E$54+E$62)*C80</f>
        <v>0</v>
      </c>
      <c r="F80" s="62">
        <f>(F$25+F$54+F$62)*C80</f>
        <v>0</v>
      </c>
    </row>
    <row r="81" spans="1:6" s="30" customFormat="1" ht="15.75" customHeight="1" x14ac:dyDescent="0.25">
      <c r="A81" s="366" t="s">
        <v>27</v>
      </c>
      <c r="B81" s="367"/>
      <c r="C81" s="91">
        <f>SUM(C79:C80)</f>
        <v>2.9899999999999999E-2</v>
      </c>
      <c r="D81" s="79">
        <f>SUM(D79:D80)</f>
        <v>293.61</v>
      </c>
      <c r="E81" s="79">
        <f>SUM(E79:E80)</f>
        <v>293.61</v>
      </c>
      <c r="F81" s="63">
        <f>SUM(F79:F80)</f>
        <v>293.61</v>
      </c>
    </row>
    <row r="82" spans="1:6" s="30" customFormat="1" ht="15.75" customHeight="1" x14ac:dyDescent="0.25">
      <c r="A82" s="368" t="s">
        <v>155</v>
      </c>
      <c r="B82" s="369"/>
      <c r="C82" s="369"/>
      <c r="D82" s="65">
        <f>SUM(D75+D81)</f>
        <v>293.61</v>
      </c>
      <c r="E82" s="65">
        <f>SUM(E75+E81)</f>
        <v>293.61</v>
      </c>
      <c r="F82" s="61">
        <f>SUM(F75+F81)</f>
        <v>293.61</v>
      </c>
    </row>
    <row r="83" spans="1:6" s="30" customFormat="1" ht="15.75" customHeight="1" x14ac:dyDescent="0.25">
      <c r="A83" s="416" t="s">
        <v>164</v>
      </c>
      <c r="B83" s="417"/>
      <c r="C83" s="417"/>
      <c r="D83" s="238"/>
      <c r="E83" s="238"/>
      <c r="F83" s="239"/>
    </row>
    <row r="84" spans="1:6" s="30" customFormat="1" ht="15.75" customHeight="1" x14ac:dyDescent="0.25">
      <c r="A84" s="251">
        <v>5</v>
      </c>
      <c r="B84" s="376" t="s">
        <v>24</v>
      </c>
      <c r="C84" s="377"/>
      <c r="D84" s="68" t="s">
        <v>10</v>
      </c>
      <c r="E84" s="68" t="s">
        <v>10</v>
      </c>
      <c r="F84" s="152" t="s">
        <v>10</v>
      </c>
    </row>
    <row r="85" spans="1:6" s="30" customFormat="1" ht="15.75" customHeight="1" x14ac:dyDescent="0.25">
      <c r="A85" s="47" t="s">
        <v>0</v>
      </c>
      <c r="B85" s="390" t="s">
        <v>222</v>
      </c>
      <c r="C85" s="390"/>
      <c r="D85" s="77">
        <f>Uniformes!H7</f>
        <v>36.619999999999997</v>
      </c>
      <c r="E85" s="77">
        <f>Uniformes!H7</f>
        <v>36.619999999999997</v>
      </c>
      <c r="F85" s="59">
        <f>Uniformes!H7</f>
        <v>36.619999999999997</v>
      </c>
    </row>
    <row r="86" spans="1:6" s="30" customFormat="1" ht="15.75" customHeight="1" x14ac:dyDescent="0.25">
      <c r="A86" s="47" t="s">
        <v>2</v>
      </c>
      <c r="B86" s="390" t="s">
        <v>223</v>
      </c>
      <c r="C86" s="390"/>
      <c r="D86" s="77">
        <f>Materiais!H20</f>
        <v>44.57</v>
      </c>
      <c r="E86" s="77">
        <f>Materiais!H21</f>
        <v>44.57</v>
      </c>
      <c r="F86" s="59">
        <f>Materiais!H24</f>
        <v>44.57</v>
      </c>
    </row>
    <row r="87" spans="1:6" s="30" customFormat="1" ht="15.75" customHeight="1" x14ac:dyDescent="0.25">
      <c r="A87" s="47" t="s">
        <v>3</v>
      </c>
      <c r="B87" s="390" t="s">
        <v>187</v>
      </c>
      <c r="C87" s="390"/>
      <c r="D87" s="77">
        <f>Equipamentos!H20</f>
        <v>922.4</v>
      </c>
      <c r="E87" s="77">
        <f>Equipamentos!H21</f>
        <v>922.4</v>
      </c>
      <c r="F87" s="59">
        <f>Equipamentos!H24</f>
        <v>922.4</v>
      </c>
    </row>
    <row r="88" spans="1:6" s="30" customFormat="1" ht="15.75" customHeight="1" x14ac:dyDescent="0.25">
      <c r="A88" s="47" t="s">
        <v>5</v>
      </c>
      <c r="B88" s="390" t="s">
        <v>137</v>
      </c>
      <c r="C88" s="390"/>
      <c r="D88" s="77">
        <v>0</v>
      </c>
      <c r="E88" s="77">
        <v>0</v>
      </c>
      <c r="F88" s="59">
        <v>0</v>
      </c>
    </row>
    <row r="89" spans="1:6" s="30" customFormat="1" ht="15.75" customHeight="1" x14ac:dyDescent="0.25">
      <c r="A89" s="368" t="s">
        <v>156</v>
      </c>
      <c r="B89" s="369"/>
      <c r="C89" s="369"/>
      <c r="D89" s="65">
        <f>SUM(D85:D88)</f>
        <v>1003.59</v>
      </c>
      <c r="E89" s="65">
        <f>SUM(E85:E88)</f>
        <v>1003.59</v>
      </c>
      <c r="F89" s="61">
        <f>SUM(F85:F88)</f>
        <v>1003.59</v>
      </c>
    </row>
    <row r="90" spans="1:6" s="30" customFormat="1" ht="30" customHeight="1" x14ac:dyDescent="0.25">
      <c r="A90" s="389" t="s">
        <v>225</v>
      </c>
      <c r="B90" s="379"/>
      <c r="C90" s="379"/>
      <c r="D90" s="144">
        <f>D89+D82+D62+D54+D25</f>
        <v>11350.09</v>
      </c>
      <c r="E90" s="144">
        <f>E89+E82+E62+E54+E25</f>
        <v>11350.09</v>
      </c>
      <c r="F90" s="201">
        <f>F89+F82+F62+F54+F25</f>
        <v>11350.09</v>
      </c>
    </row>
    <row r="91" spans="1:6" s="30" customFormat="1" ht="19.5" customHeight="1" x14ac:dyDescent="0.25">
      <c r="A91" s="416" t="s">
        <v>165</v>
      </c>
      <c r="B91" s="417"/>
      <c r="C91" s="417"/>
      <c r="D91" s="238"/>
      <c r="E91" s="238"/>
      <c r="F91" s="239"/>
    </row>
    <row r="92" spans="1:6" s="30" customFormat="1" x14ac:dyDescent="0.25">
      <c r="A92" s="251">
        <v>6</v>
      </c>
      <c r="B92" s="376" t="s">
        <v>38</v>
      </c>
      <c r="C92" s="378"/>
      <c r="D92" s="68" t="s">
        <v>10</v>
      </c>
      <c r="E92" s="68" t="s">
        <v>10</v>
      </c>
      <c r="F92" s="152" t="s">
        <v>10</v>
      </c>
    </row>
    <row r="93" spans="1:6" s="30" customFormat="1" x14ac:dyDescent="0.25">
      <c r="A93" s="251" t="s">
        <v>0</v>
      </c>
      <c r="B93" s="50" t="s">
        <v>39</v>
      </c>
      <c r="C93" s="55">
        <v>0.03</v>
      </c>
      <c r="D93" s="77">
        <f>+D90*C93</f>
        <v>340.5</v>
      </c>
      <c r="E93" s="77">
        <f>+E90*C93</f>
        <v>340.5</v>
      </c>
      <c r="F93" s="62">
        <f>+F90*C93</f>
        <v>340.5</v>
      </c>
    </row>
    <row r="94" spans="1:6" s="30" customFormat="1" x14ac:dyDescent="0.25">
      <c r="A94" s="251" t="s">
        <v>2</v>
      </c>
      <c r="B94" s="50" t="s">
        <v>40</v>
      </c>
      <c r="C94" s="55">
        <v>6.7900000000000002E-2</v>
      </c>
      <c r="D94" s="77">
        <f>C94*(+D90+D93)</f>
        <v>793.79</v>
      </c>
      <c r="E94" s="77">
        <f>C94*(+E90+E93)</f>
        <v>793.79</v>
      </c>
      <c r="F94" s="62">
        <f>C94*(+F90+F93)</f>
        <v>793.79</v>
      </c>
    </row>
    <row r="95" spans="1:6" s="30" customFormat="1" ht="31.5" x14ac:dyDescent="0.25">
      <c r="A95" s="384" t="s">
        <v>3</v>
      </c>
      <c r="B95" s="50" t="s">
        <v>50</v>
      </c>
      <c r="C95" s="55">
        <f>1-C103</f>
        <v>0.85750000000000004</v>
      </c>
      <c r="D95" s="77">
        <f>+D90+D93+D94</f>
        <v>12484.38</v>
      </c>
      <c r="E95" s="77">
        <f>+E90+E93+E94</f>
        <v>12484.38</v>
      </c>
      <c r="F95" s="62">
        <f>+F90+F93+F94</f>
        <v>12484.38</v>
      </c>
    </row>
    <row r="96" spans="1:6" s="30" customFormat="1" x14ac:dyDescent="0.25">
      <c r="A96" s="384"/>
      <c r="B96" s="254" t="s">
        <v>41</v>
      </c>
      <c r="C96" s="88"/>
      <c r="D96" s="145">
        <f>+D95/C95</f>
        <v>14559.04</v>
      </c>
      <c r="E96" s="145">
        <f>+E95/C95</f>
        <v>14559.04</v>
      </c>
      <c r="F96" s="202">
        <f>+F95/C95</f>
        <v>14559.04</v>
      </c>
    </row>
    <row r="97" spans="1:6" s="30" customFormat="1" x14ac:dyDescent="0.25">
      <c r="A97" s="384"/>
      <c r="B97" s="254" t="s">
        <v>42</v>
      </c>
      <c r="C97" s="67"/>
      <c r="D97" s="77"/>
      <c r="E97" s="77"/>
      <c r="F97" s="62"/>
    </row>
    <row r="98" spans="1:6" s="30" customFormat="1" x14ac:dyDescent="0.25">
      <c r="A98" s="384"/>
      <c r="B98" s="50" t="s">
        <v>130</v>
      </c>
      <c r="C98" s="55">
        <v>1.6500000000000001E-2</v>
      </c>
      <c r="D98" s="77">
        <f>+D96*C98</f>
        <v>240.22</v>
      </c>
      <c r="E98" s="77">
        <f>+E96*C98</f>
        <v>240.22</v>
      </c>
      <c r="F98" s="62">
        <f>+F96*C98</f>
        <v>240.22</v>
      </c>
    </row>
    <row r="99" spans="1:6" s="30" customFormat="1" x14ac:dyDescent="0.25">
      <c r="A99" s="384"/>
      <c r="B99" s="50" t="s">
        <v>131</v>
      </c>
      <c r="C99" s="55">
        <v>7.5999999999999998E-2</v>
      </c>
      <c r="D99" s="77">
        <f>+D96*C99</f>
        <v>1106.49</v>
      </c>
      <c r="E99" s="77">
        <f>+E96*C99</f>
        <v>1106.49</v>
      </c>
      <c r="F99" s="62">
        <f>+F96*C99</f>
        <v>1106.49</v>
      </c>
    </row>
    <row r="100" spans="1:6" s="30" customFormat="1" x14ac:dyDescent="0.25">
      <c r="A100" s="384"/>
      <c r="B100" s="51" t="s">
        <v>43</v>
      </c>
      <c r="C100" s="88"/>
      <c r="D100" s="77"/>
      <c r="E100" s="77"/>
      <c r="F100" s="62"/>
    </row>
    <row r="101" spans="1:6" s="30" customFormat="1" x14ac:dyDescent="0.25">
      <c r="A101" s="384"/>
      <c r="B101" s="51" t="s">
        <v>44</v>
      </c>
      <c r="C101" s="94"/>
      <c r="D101" s="77"/>
      <c r="E101" s="77"/>
      <c r="F101" s="62"/>
    </row>
    <row r="102" spans="1:6" s="30" customFormat="1" x14ac:dyDescent="0.25">
      <c r="A102" s="384"/>
      <c r="B102" s="50" t="s">
        <v>142</v>
      </c>
      <c r="C102" s="55">
        <v>0.05</v>
      </c>
      <c r="D102" s="77">
        <f>+D96*C102</f>
        <v>727.95</v>
      </c>
      <c r="E102" s="77">
        <f>+E96*C102</f>
        <v>727.95</v>
      </c>
      <c r="F102" s="62">
        <f>+F96*C102</f>
        <v>727.95</v>
      </c>
    </row>
    <row r="103" spans="1:6" s="30" customFormat="1" x14ac:dyDescent="0.25">
      <c r="A103" s="251"/>
      <c r="B103" s="98" t="s">
        <v>45</v>
      </c>
      <c r="C103" s="99">
        <f>SUM(C98:C102)</f>
        <v>0.14249999999999999</v>
      </c>
      <c r="D103" s="77">
        <f>SUM(D98:D102)</f>
        <v>2074.66</v>
      </c>
      <c r="E103" s="77">
        <f>SUM(E98:E102)</f>
        <v>2074.66</v>
      </c>
      <c r="F103" s="62">
        <f>SUM(F98:F102)</f>
        <v>2074.66</v>
      </c>
    </row>
    <row r="104" spans="1:6" s="30" customFormat="1" ht="15.75" customHeight="1" x14ac:dyDescent="0.25">
      <c r="A104" s="366" t="s">
        <v>46</v>
      </c>
      <c r="B104" s="367"/>
      <c r="C104" s="367"/>
      <c r="D104" s="79">
        <f>+D93+D94+D103</f>
        <v>3208.95</v>
      </c>
      <c r="E104" s="79">
        <f>+E93+E94+E103</f>
        <v>3208.95</v>
      </c>
      <c r="F104" s="63">
        <f>+F93+F94+F103</f>
        <v>3208.95</v>
      </c>
    </row>
    <row r="105" spans="1:6" s="30" customFormat="1" ht="15.75" customHeight="1" x14ac:dyDescent="0.25">
      <c r="A105" s="424" t="s">
        <v>47</v>
      </c>
      <c r="B105" s="425"/>
      <c r="C105" s="425"/>
      <c r="D105" s="146" t="s">
        <v>10</v>
      </c>
      <c r="E105" s="146" t="s">
        <v>10</v>
      </c>
      <c r="F105" s="243" t="s">
        <v>10</v>
      </c>
    </row>
    <row r="106" spans="1:6" s="30" customFormat="1" x14ac:dyDescent="0.25">
      <c r="A106" s="49" t="s">
        <v>0</v>
      </c>
      <c r="B106" s="387" t="s">
        <v>48</v>
      </c>
      <c r="C106" s="387"/>
      <c r="D106" s="77">
        <f>+D25</f>
        <v>5894.6</v>
      </c>
      <c r="E106" s="77">
        <f>+E25</f>
        <v>5894.6</v>
      </c>
      <c r="F106" s="62">
        <f>+F25</f>
        <v>5894.6</v>
      </c>
    </row>
    <row r="107" spans="1:6" s="30" customFormat="1" x14ac:dyDescent="0.25">
      <c r="A107" s="49" t="s">
        <v>2</v>
      </c>
      <c r="B107" s="387" t="s">
        <v>159</v>
      </c>
      <c r="C107" s="387"/>
      <c r="D107" s="77">
        <f>+D54</f>
        <v>3736.82</v>
      </c>
      <c r="E107" s="77">
        <f>+E54</f>
        <v>3736.82</v>
      </c>
      <c r="F107" s="62">
        <f>+F54</f>
        <v>3736.82</v>
      </c>
    </row>
    <row r="108" spans="1:6" s="30" customFormat="1" x14ac:dyDescent="0.25">
      <c r="A108" s="49" t="s">
        <v>3</v>
      </c>
      <c r="B108" s="387" t="s">
        <v>157</v>
      </c>
      <c r="C108" s="387"/>
      <c r="D108" s="77">
        <f>D62</f>
        <v>421.47</v>
      </c>
      <c r="E108" s="77">
        <f>E62</f>
        <v>421.47</v>
      </c>
      <c r="F108" s="62">
        <f>F62</f>
        <v>421.47</v>
      </c>
    </row>
    <row r="109" spans="1:6" s="30" customFormat="1" x14ac:dyDescent="0.25">
      <c r="A109" s="49" t="s">
        <v>5</v>
      </c>
      <c r="B109" s="387" t="s">
        <v>150</v>
      </c>
      <c r="C109" s="387"/>
      <c r="D109" s="77">
        <f>D82</f>
        <v>293.61</v>
      </c>
      <c r="E109" s="77">
        <f>E82</f>
        <v>293.61</v>
      </c>
      <c r="F109" s="62">
        <f>F82</f>
        <v>293.61</v>
      </c>
    </row>
    <row r="110" spans="1:6" s="30" customFormat="1" x14ac:dyDescent="0.25">
      <c r="A110" s="49" t="s">
        <v>20</v>
      </c>
      <c r="B110" s="387" t="s">
        <v>158</v>
      </c>
      <c r="C110" s="387"/>
      <c r="D110" s="77">
        <f>D89</f>
        <v>1003.59</v>
      </c>
      <c r="E110" s="77">
        <f>E89</f>
        <v>1003.59</v>
      </c>
      <c r="F110" s="62">
        <f>F89</f>
        <v>1003.59</v>
      </c>
    </row>
    <row r="111" spans="1:6" s="30" customFormat="1" ht="15.75" customHeight="1" x14ac:dyDescent="0.25">
      <c r="A111" s="384" t="s">
        <v>160</v>
      </c>
      <c r="B111" s="388"/>
      <c r="C111" s="388"/>
      <c r="D111" s="100">
        <f>SUM(D106:D110)</f>
        <v>11350.09</v>
      </c>
      <c r="E111" s="100">
        <f>SUM(E106:E110)</f>
        <v>11350.09</v>
      </c>
      <c r="F111" s="170">
        <f>SUM(F106:F110)</f>
        <v>11350.09</v>
      </c>
    </row>
    <row r="112" spans="1:6" s="30" customFormat="1" x14ac:dyDescent="0.25">
      <c r="A112" s="251" t="s">
        <v>20</v>
      </c>
      <c r="B112" s="387" t="s">
        <v>161</v>
      </c>
      <c r="C112" s="387"/>
      <c r="D112" s="77">
        <f>+D104</f>
        <v>3208.95</v>
      </c>
      <c r="E112" s="77">
        <f>+E104</f>
        <v>3208.95</v>
      </c>
      <c r="F112" s="62">
        <f>+F104</f>
        <v>3208.95</v>
      </c>
    </row>
    <row r="113" spans="1:6" s="30" customFormat="1" ht="16.5" customHeight="1" thickBot="1" x14ac:dyDescent="0.3">
      <c r="A113" s="381" t="s">
        <v>49</v>
      </c>
      <c r="B113" s="382"/>
      <c r="C113" s="382"/>
      <c r="D113" s="147">
        <f>+D111+D112</f>
        <v>14559.04</v>
      </c>
      <c r="E113" s="147">
        <f>+E111+E112</f>
        <v>14559.04</v>
      </c>
      <c r="F113" s="203">
        <f>+F111+F112</f>
        <v>14559.04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129</v>
      </c>
    </row>
    <row r="117" spans="1:6" x14ac:dyDescent="0.25">
      <c r="B117" s="28"/>
      <c r="C117" s="383"/>
      <c r="D117" s="383"/>
      <c r="E117" s="383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5">
    <mergeCell ref="C13:F13"/>
    <mergeCell ref="C12:F12"/>
    <mergeCell ref="B27:C27"/>
    <mergeCell ref="A30:B30"/>
    <mergeCell ref="A8:F8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  <mergeCell ref="A104:C104"/>
    <mergeCell ref="B84:C84"/>
    <mergeCell ref="B85:C85"/>
    <mergeCell ref="B86:C86"/>
    <mergeCell ref="B87:C87"/>
    <mergeCell ref="B88:C88"/>
    <mergeCell ref="A89:C89"/>
    <mergeCell ref="A90:C90"/>
    <mergeCell ref="B92:C92"/>
    <mergeCell ref="A95:A102"/>
    <mergeCell ref="A83:C83"/>
    <mergeCell ref="A91:C91"/>
    <mergeCell ref="A82:C82"/>
    <mergeCell ref="B56:C56"/>
    <mergeCell ref="A62:C62"/>
    <mergeCell ref="B64:C64"/>
    <mergeCell ref="A71:B71"/>
    <mergeCell ref="B73:C73"/>
    <mergeCell ref="A75:B75"/>
    <mergeCell ref="B78:C78"/>
    <mergeCell ref="A81:B81"/>
    <mergeCell ref="A63:C63"/>
    <mergeCell ref="A76:C76"/>
    <mergeCell ref="A77:C77"/>
    <mergeCell ref="A55:C55"/>
    <mergeCell ref="A26:C26"/>
    <mergeCell ref="A25:C25"/>
    <mergeCell ref="A11:C11"/>
    <mergeCell ref="A16:C16"/>
    <mergeCell ref="B17:C17"/>
    <mergeCell ref="B32:C32"/>
    <mergeCell ref="A41:B41"/>
    <mergeCell ref="B43:C43"/>
    <mergeCell ref="A49:C49"/>
    <mergeCell ref="A54:C54"/>
    <mergeCell ref="A42:C42"/>
    <mergeCell ref="A50:C50"/>
    <mergeCell ref="A31:F31"/>
    <mergeCell ref="C15:F15"/>
    <mergeCell ref="C14:F14"/>
    <mergeCell ref="A1:F1"/>
    <mergeCell ref="D11:F11"/>
    <mergeCell ref="A10:F10"/>
    <mergeCell ref="A9:F9"/>
    <mergeCell ref="A3:F3"/>
    <mergeCell ref="A2:F2"/>
    <mergeCell ref="C7:F7"/>
    <mergeCell ref="C6:F6"/>
    <mergeCell ref="C5:F5"/>
    <mergeCell ref="C4:F4"/>
  </mergeCells>
  <hyperlinks>
    <hyperlink ref="B40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2024-12-17T12:47:31Z</cp:lastPrinted>
  <dcterms:created xsi:type="dcterms:W3CDTF">2014-04-11T01:53:38Z</dcterms:created>
  <dcterms:modified xsi:type="dcterms:W3CDTF">2024-12-17T13:07:24Z</dcterms:modified>
</cp:coreProperties>
</file>